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55" windowWidth="11340" windowHeight="616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</sheets>
  <calcPr calcId="145621"/>
</workbook>
</file>

<file path=xl/calcChain.xml><?xml version="1.0" encoding="utf-8"?>
<calcChain xmlns="http://schemas.openxmlformats.org/spreadsheetml/2006/main">
  <c r="I65" i="13" l="1"/>
  <c r="I165" i="13"/>
  <c r="G108" i="13" l="1"/>
  <c r="E108" i="13"/>
  <c r="G70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56" i="13"/>
  <c r="G155" i="13"/>
  <c r="G140" i="13"/>
  <c r="G141" i="13"/>
  <c r="G142" i="13"/>
  <c r="G143" i="13"/>
  <c r="G144" i="13"/>
  <c r="G145" i="13"/>
  <c r="G146" i="13"/>
  <c r="G147" i="13"/>
  <c r="G148" i="13"/>
  <c r="G149" i="13"/>
  <c r="G150" i="13"/>
  <c r="G132" i="13"/>
  <c r="G133" i="13"/>
  <c r="G134" i="13"/>
  <c r="G135" i="13"/>
  <c r="G136" i="13"/>
  <c r="G137" i="13"/>
  <c r="G138" i="13"/>
  <c r="G139" i="13"/>
  <c r="G131" i="13"/>
  <c r="G130" i="13"/>
  <c r="G117" i="13"/>
  <c r="G118" i="13"/>
  <c r="G119" i="13"/>
  <c r="G120" i="13"/>
  <c r="G121" i="13"/>
  <c r="G122" i="13"/>
  <c r="G123" i="13"/>
  <c r="G124" i="13"/>
  <c r="G125" i="13"/>
  <c r="G107" i="13"/>
  <c r="G109" i="13"/>
  <c r="G110" i="13"/>
  <c r="G111" i="13"/>
  <c r="G112" i="13"/>
  <c r="G113" i="13"/>
  <c r="G114" i="13"/>
  <c r="G115" i="13"/>
  <c r="G116" i="13"/>
  <c r="G106" i="13"/>
  <c r="G105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81" i="13"/>
  <c r="G80" i="13"/>
  <c r="G72" i="13"/>
  <c r="G73" i="13"/>
  <c r="G74" i="13"/>
  <c r="G75" i="13"/>
  <c r="G71" i="13"/>
  <c r="G67" i="13"/>
  <c r="G68" i="13"/>
  <c r="G69" i="13"/>
  <c r="G57" i="13"/>
  <c r="G58" i="13"/>
  <c r="G59" i="13"/>
  <c r="G60" i="13"/>
  <c r="G61" i="13"/>
  <c r="G62" i="13"/>
  <c r="G63" i="13"/>
  <c r="G64" i="13"/>
  <c r="G65" i="13"/>
  <c r="G66" i="13"/>
  <c r="G56" i="13"/>
  <c r="E98" i="13"/>
  <c r="G36" i="13"/>
  <c r="G55" i="13"/>
  <c r="G49" i="13"/>
  <c r="G50" i="13"/>
  <c r="G38" i="13"/>
  <c r="G39" i="13"/>
  <c r="G40" i="13"/>
  <c r="G41" i="13"/>
  <c r="G42" i="13"/>
  <c r="G43" i="13"/>
  <c r="G44" i="13"/>
  <c r="G45" i="13"/>
  <c r="G46" i="13"/>
  <c r="G47" i="13"/>
  <c r="G48" i="13"/>
  <c r="G37" i="13"/>
  <c r="G32" i="13"/>
  <c r="G33" i="13"/>
  <c r="G34" i="13"/>
  <c r="G35" i="13"/>
  <c r="G31" i="13"/>
  <c r="G30" i="13"/>
  <c r="G11" i="13"/>
  <c r="G15" i="13"/>
  <c r="G16" i="13"/>
  <c r="G17" i="13"/>
  <c r="G18" i="13"/>
  <c r="G19" i="13"/>
  <c r="G20" i="13"/>
  <c r="G21" i="13"/>
  <c r="G22" i="13"/>
  <c r="G23" i="13"/>
  <c r="G10" i="13"/>
  <c r="G12" i="13"/>
  <c r="G13" i="13"/>
  <c r="G14" i="13"/>
  <c r="G9" i="13"/>
  <c r="G8" i="13"/>
  <c r="H59" i="13"/>
  <c r="H163" i="13"/>
  <c r="H149" i="13"/>
  <c r="H132" i="13"/>
  <c r="H130" i="13"/>
  <c r="H125" i="13" l="1"/>
  <c r="H124" i="13"/>
  <c r="H122" i="13"/>
  <c r="H120" i="13"/>
  <c r="H112" i="13"/>
  <c r="H109" i="13"/>
  <c r="H99" i="13"/>
  <c r="H89" i="13"/>
  <c r="H88" i="13"/>
  <c r="H82" i="13"/>
  <c r="H80" i="13"/>
  <c r="H68" i="13"/>
  <c r="H67" i="13"/>
  <c r="H66" i="13"/>
  <c r="H64" i="13"/>
  <c r="H45" i="13"/>
  <c r="H20" i="13"/>
  <c r="H12" i="13"/>
  <c r="L157" i="13" l="1"/>
  <c r="L158" i="13"/>
  <c r="L160" i="13"/>
  <c r="L161" i="13"/>
  <c r="L162" i="13"/>
  <c r="L164" i="13"/>
  <c r="L165" i="13"/>
  <c r="L167" i="13"/>
  <c r="L168" i="13"/>
  <c r="L138" i="13"/>
  <c r="L139" i="13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5" i="13"/>
  <c r="L57" i="13"/>
  <c r="L61" i="13"/>
  <c r="L62" i="13"/>
  <c r="L65" i="13"/>
  <c r="L69" i="13"/>
  <c r="L70" i="13"/>
  <c r="L72" i="13"/>
  <c r="L56" i="13"/>
  <c r="L33" i="13"/>
  <c r="L34" i="13"/>
  <c r="L35" i="13"/>
  <c r="L38" i="13"/>
  <c r="L39" i="13"/>
  <c r="L42" i="13"/>
  <c r="L43" i="13"/>
  <c r="L44" i="13"/>
  <c r="L49" i="13"/>
  <c r="L30" i="13"/>
  <c r="L11" i="13"/>
  <c r="L18" i="13"/>
  <c r="L22" i="13"/>
  <c r="L23" i="13"/>
  <c r="K24" i="13"/>
  <c r="K51" i="13" s="1"/>
  <c r="K76" i="13" s="1"/>
  <c r="K101" i="13" s="1"/>
  <c r="K126" i="13" s="1"/>
  <c r="K151" i="13" s="1"/>
  <c r="K170" i="13" s="1"/>
  <c r="H146" i="13" l="1"/>
  <c r="H137" i="13"/>
  <c r="H113" i="13"/>
  <c r="H85" i="13"/>
  <c r="H63" i="13"/>
  <c r="H16" i="13"/>
  <c r="H15" i="13"/>
  <c r="H136" i="13" l="1"/>
  <c r="M165" i="13" l="1"/>
  <c r="H114" i="13" l="1"/>
  <c r="C60" i="14" l="1"/>
  <c r="C58" i="14"/>
  <c r="H48" i="13"/>
  <c r="H46" i="13"/>
  <c r="H92" i="13"/>
  <c r="H60" i="13"/>
  <c r="H90" i="13"/>
  <c r="H134" i="13"/>
  <c r="H37" i="13"/>
  <c r="L98" i="13"/>
  <c r="M57" i="13"/>
  <c r="M167" i="13"/>
  <c r="M142" i="13"/>
  <c r="M138" i="13"/>
  <c r="L136" i="13"/>
  <c r="M136" i="13" s="1"/>
  <c r="L133" i="13"/>
  <c r="M133" i="13" s="1"/>
  <c r="M108" i="13"/>
  <c r="M105" i="13"/>
  <c r="M75" i="13"/>
  <c r="M65" i="13"/>
  <c r="M61" i="13"/>
  <c r="M44" i="13"/>
  <c r="M35" i="13"/>
  <c r="M160" i="13"/>
  <c r="M140" i="13"/>
  <c r="M139" i="13"/>
  <c r="M87" i="13"/>
  <c r="L36" i="13"/>
  <c r="M23" i="13"/>
  <c r="F24" i="13"/>
  <c r="F51" i="13" s="1"/>
  <c r="F76" i="13" s="1"/>
  <c r="F101" i="13" s="1"/>
  <c r="F126" i="13" s="1"/>
  <c r="F151" i="13" s="1"/>
  <c r="F170" i="13" s="1"/>
  <c r="G9" i="15"/>
  <c r="F178" i="13"/>
  <c r="M168" i="13"/>
  <c r="M141" i="13"/>
  <c r="M62" i="13"/>
  <c r="M157" i="13"/>
  <c r="M161" i="13"/>
  <c r="M74" i="13"/>
  <c r="M164" i="13"/>
  <c r="M39" i="13"/>
  <c r="I58" i="13"/>
  <c r="L58" i="13" s="1"/>
  <c r="I150" i="13"/>
  <c r="H156" i="13"/>
  <c r="I121" i="13"/>
  <c r="L121" i="13" s="1"/>
  <c r="M121" i="13" s="1"/>
  <c r="H100" i="13"/>
  <c r="H17" i="13"/>
  <c r="G178" i="13"/>
  <c r="E178" i="13"/>
  <c r="I117" i="13"/>
  <c r="D58" i="14"/>
  <c r="I116" i="13"/>
  <c r="L116" i="13" s="1"/>
  <c r="I60" i="13"/>
  <c r="I123" i="13"/>
  <c r="L123" i="13" s="1"/>
  <c r="H71" i="13"/>
  <c r="H50" i="13"/>
  <c r="H111" i="13"/>
  <c r="H94" i="13"/>
  <c r="L94" i="13" s="1"/>
  <c r="H83" i="13"/>
  <c r="G10" i="15"/>
  <c r="M49" i="13"/>
  <c r="J50" i="13"/>
  <c r="I159" i="13"/>
  <c r="L159" i="13" s="1"/>
  <c r="M159" i="13" s="1"/>
  <c r="I48" i="13"/>
  <c r="L48" i="13" s="1"/>
  <c r="I92" i="13"/>
  <c r="I19" i="13"/>
  <c r="L19" i="13" s="1"/>
  <c r="I111" i="13"/>
  <c r="L111" i="13" s="1"/>
  <c r="I166" i="13"/>
  <c r="L166" i="13" s="1"/>
  <c r="M166" i="13" s="1"/>
  <c r="I21" i="15"/>
  <c r="H40" i="13"/>
  <c r="H118" i="13"/>
  <c r="H32" i="13"/>
  <c r="H97" i="13"/>
  <c r="H14" i="13"/>
  <c r="H47" i="13"/>
  <c r="H41" i="13"/>
  <c r="H8" i="13"/>
  <c r="H155" i="13"/>
  <c r="M148" i="13"/>
  <c r="M143" i="13"/>
  <c r="M144" i="13"/>
  <c r="M115" i="13"/>
  <c r="M98" i="13"/>
  <c r="M38" i="13"/>
  <c r="M107" i="13"/>
  <c r="M73" i="13"/>
  <c r="M72" i="13"/>
  <c r="M69" i="13"/>
  <c r="M84" i="13"/>
  <c r="M43" i="13"/>
  <c r="M42" i="13"/>
  <c r="M18" i="13"/>
  <c r="M56" i="13"/>
  <c r="M81" i="13"/>
  <c r="M34" i="13"/>
  <c r="M30" i="13"/>
  <c r="M22" i="13"/>
  <c r="M19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I147" i="13"/>
  <c r="L147" i="13" s="1"/>
  <c r="I155" i="13"/>
  <c r="L155" i="13" s="1"/>
  <c r="J149" i="13"/>
  <c r="I149" i="13"/>
  <c r="I146" i="13"/>
  <c r="L146" i="13" s="1"/>
  <c r="J137" i="13"/>
  <c r="I137" i="13"/>
  <c r="I156" i="13"/>
  <c r="L156" i="13" s="1"/>
  <c r="M156" i="13" s="1"/>
  <c r="I124" i="13"/>
  <c r="L124" i="13" s="1"/>
  <c r="M124" i="13" s="1"/>
  <c r="I125" i="13"/>
  <c r="I93" i="13"/>
  <c r="M95" i="13"/>
  <c r="J130" i="13"/>
  <c r="I130" i="13"/>
  <c r="I118" i="13"/>
  <c r="L118" i="13" s="1"/>
  <c r="I163" i="13"/>
  <c r="L163" i="13" s="1"/>
  <c r="I134" i="13"/>
  <c r="L134" i="13" s="1"/>
  <c r="J109" i="13"/>
  <c r="I109" i="13"/>
  <c r="M110" i="13"/>
  <c r="I99" i="13"/>
  <c r="I100" i="13"/>
  <c r="L100" i="13" s="1"/>
  <c r="M100" i="13" s="1"/>
  <c r="I114" i="13"/>
  <c r="L114" i="13" s="1"/>
  <c r="J113" i="13"/>
  <c r="I113" i="13"/>
  <c r="I112" i="13"/>
  <c r="L112" i="13" s="1"/>
  <c r="J32" i="13"/>
  <c r="I32" i="13"/>
  <c r="J97" i="13"/>
  <c r="I97" i="13"/>
  <c r="I96" i="13"/>
  <c r="L96" i="13" s="1"/>
  <c r="M96" i="13" s="1"/>
  <c r="I106" i="13"/>
  <c r="I122" i="13"/>
  <c r="M70" i="13"/>
  <c r="I46" i="13"/>
  <c r="I37" i="13"/>
  <c r="L37" i="13" s="1"/>
  <c r="M37" i="13" s="1"/>
  <c r="I71" i="13"/>
  <c r="L71" i="13" s="1"/>
  <c r="I14" i="13"/>
  <c r="L14" i="13" s="1"/>
  <c r="I47" i="13"/>
  <c r="L47" i="13" s="1"/>
  <c r="M47" i="13" s="1"/>
  <c r="J59" i="13"/>
  <c r="I59" i="13"/>
  <c r="J67" i="13"/>
  <c r="I67" i="13"/>
  <c r="I68" i="13"/>
  <c r="L68" i="13" s="1"/>
  <c r="I40" i="13"/>
  <c r="J41" i="13"/>
  <c r="I41" i="13"/>
  <c r="I83" i="13"/>
  <c r="I82" i="13"/>
  <c r="I50" i="13"/>
  <c r="I31" i="13"/>
  <c r="L31" i="13" s="1"/>
  <c r="I91" i="13"/>
  <c r="I85" i="13"/>
  <c r="L85" i="13" s="1"/>
  <c r="I45" i="13"/>
  <c r="L45" i="13" s="1"/>
  <c r="M45" i="13" s="1"/>
  <c r="J64" i="13"/>
  <c r="I64" i="13"/>
  <c r="I63" i="13"/>
  <c r="L63" i="13" s="1"/>
  <c r="I66" i="13"/>
  <c r="L66" i="13" s="1"/>
  <c r="I88" i="13"/>
  <c r="L88" i="13" s="1"/>
  <c r="I86" i="13"/>
  <c r="L86" i="13" s="1"/>
  <c r="M86" i="13" s="1"/>
  <c r="I55" i="13"/>
  <c r="L55" i="13" s="1"/>
  <c r="I80" i="13"/>
  <c r="L80" i="13" s="1"/>
  <c r="M80" i="13" s="1"/>
  <c r="I89" i="13"/>
  <c r="L89" i="13" s="1"/>
  <c r="M89" i="13" s="1"/>
  <c r="I90" i="13"/>
  <c r="L90" i="13" s="1"/>
  <c r="H21" i="13"/>
  <c r="M33" i="13"/>
  <c r="I20" i="13"/>
  <c r="L20" i="13" s="1"/>
  <c r="I15" i="13"/>
  <c r="J119" i="13"/>
  <c r="I119" i="13"/>
  <c r="J17" i="13"/>
  <c r="I17" i="13"/>
  <c r="I16" i="13"/>
  <c r="I13" i="13"/>
  <c r="I10" i="13"/>
  <c r="J12" i="13"/>
  <c r="I12" i="13"/>
  <c r="I9" i="13"/>
  <c r="I8" i="13"/>
  <c r="L8" i="13" s="1"/>
  <c r="M8" i="13" s="1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23" i="13"/>
  <c r="M94" i="13"/>
  <c r="M146" i="13"/>
  <c r="M14" i="13"/>
  <c r="M58" i="13"/>
  <c r="M155" i="13"/>
  <c r="M11" i="13"/>
  <c r="M145" i="13"/>
  <c r="M147" i="13"/>
  <c r="M158" i="13"/>
  <c r="M36" i="13"/>
  <c r="E24" i="13"/>
  <c r="E51" i="13" s="1"/>
  <c r="E76" i="13" s="1"/>
  <c r="E101" i="13" s="1"/>
  <c r="E126" i="13" s="1"/>
  <c r="E151" i="13" s="1"/>
  <c r="E170" i="13" s="1"/>
  <c r="M90" i="13"/>
  <c r="M55" i="13"/>
  <c r="M88" i="13"/>
  <c r="M31" i="13"/>
  <c r="M112" i="13"/>
  <c r="G24" i="13"/>
  <c r="L40" i="13" l="1"/>
  <c r="M40" i="13" s="1"/>
  <c r="L92" i="13"/>
  <c r="I24" i="13"/>
  <c r="I51" i="13" s="1"/>
  <c r="I76" i="13" s="1"/>
  <c r="I101" i="13" s="1"/>
  <c r="I126" i="13" s="1"/>
  <c r="I151" i="13" s="1"/>
  <c r="I170" i="13" s="1"/>
  <c r="L83" i="13"/>
  <c r="M83" i="13" s="1"/>
  <c r="L21" i="13"/>
  <c r="M21" i="13" s="1"/>
  <c r="J24" i="13"/>
  <c r="J51" i="13" s="1"/>
  <c r="J76" i="13" s="1"/>
  <c r="J101" i="13" s="1"/>
  <c r="J126" i="13" s="1"/>
  <c r="J151" i="13" s="1"/>
  <c r="J170" i="13" s="1"/>
  <c r="L17" i="13"/>
  <c r="M17" i="13" s="1"/>
  <c r="L119" i="13"/>
  <c r="M119" i="13" s="1"/>
  <c r="L97" i="13"/>
  <c r="M97" i="13" s="1"/>
  <c r="L32" i="13"/>
  <c r="L130" i="13"/>
  <c r="L149" i="13"/>
  <c r="M149" i="13" s="1"/>
  <c r="G51" i="13"/>
  <c r="G76" i="13" s="1"/>
  <c r="G101" i="13" s="1"/>
  <c r="G126" i="13" s="1"/>
  <c r="G151" i="13" s="1"/>
  <c r="G170" i="13" s="1"/>
  <c r="L131" i="13"/>
  <c r="M131" i="13" s="1"/>
  <c r="L135" i="13"/>
  <c r="M135" i="13" s="1"/>
  <c r="L12" i="13"/>
  <c r="L41" i="13"/>
  <c r="M41" i="13" s="1"/>
  <c r="L67" i="13"/>
  <c r="L59" i="13"/>
  <c r="M59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6" i="13"/>
  <c r="M46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4" i="13"/>
  <c r="M64" i="13" s="1"/>
  <c r="L91" i="13"/>
  <c r="M91" i="13" s="1"/>
  <c r="L50" i="13"/>
  <c r="M50" i="13" s="1"/>
  <c r="L106" i="13"/>
  <c r="M106" i="13" s="1"/>
  <c r="L125" i="13"/>
  <c r="M125" i="13" s="1"/>
  <c r="L132" i="13"/>
  <c r="M132" i="13" s="1"/>
  <c r="L60" i="13"/>
  <c r="M60" i="13" s="1"/>
  <c r="L150" i="13"/>
  <c r="M150" i="13" s="1"/>
  <c r="M67" i="13"/>
  <c r="H24" i="13"/>
  <c r="H51" i="13" s="1"/>
  <c r="H76" i="13" s="1"/>
  <c r="H101" i="13" s="1"/>
  <c r="H126" i="13" s="1"/>
  <c r="H151" i="13" s="1"/>
  <c r="H170" i="13" s="1"/>
  <c r="M32" i="13"/>
  <c r="M85" i="13"/>
  <c r="M118" i="13"/>
  <c r="M71" i="13"/>
  <c r="M20" i="13"/>
  <c r="M114" i="13"/>
  <c r="M48" i="13"/>
  <c r="M92" i="13"/>
  <c r="M111" i="13"/>
  <c r="M116" i="13"/>
  <c r="M63" i="13"/>
  <c r="M66" i="13"/>
  <c r="M68" i="13"/>
  <c r="M130" i="13"/>
  <c r="M134" i="13"/>
  <c r="M163" i="13"/>
  <c r="M12" i="13" l="1"/>
  <c r="M24" i="13" s="1"/>
  <c r="M51" i="13" s="1"/>
  <c r="M76" i="13" s="1"/>
  <c r="M101" i="13" s="1"/>
  <c r="M126" i="13" s="1"/>
  <c r="M151" i="13" s="1"/>
  <c r="M170" i="13" s="1"/>
  <c r="C171" i="13" s="1"/>
  <c r="L24" i="13"/>
  <c r="L51" i="13" s="1"/>
  <c r="L76" i="13" s="1"/>
  <c r="L101" i="13" s="1"/>
  <c r="L126" i="13" s="1"/>
  <c r="L151" i="13" s="1"/>
  <c r="L170" i="13" s="1"/>
  <c r="C173" i="13" l="1"/>
  <c r="E173" i="13" s="1"/>
</calcChain>
</file>

<file path=xl/sharedStrings.xml><?xml version="1.0" encoding="utf-8"?>
<sst xmlns="http://schemas.openxmlformats.org/spreadsheetml/2006/main" count="1642" uniqueCount="572">
  <si>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</si>
  <si>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</si>
  <si>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</si>
  <si>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</si>
  <si>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</si>
  <si>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</si>
  <si>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</si>
  <si>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</si>
  <si>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</si>
  <si>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</si>
  <si>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</si>
  <si>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</si>
  <si>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</si>
  <si>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</si>
  <si>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</si>
  <si>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</si>
  <si>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</si>
  <si>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</si>
  <si>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</si>
  <si>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</si>
  <si>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</si>
  <si>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</si>
  <si>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</si>
  <si>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</si>
  <si>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</si>
  <si>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</si>
  <si>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</si>
  <si>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</si>
  <si>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</si>
  <si>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</si>
  <si>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</si>
  <si>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</si>
  <si>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</si>
  <si>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</si>
  <si>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</si>
  <si>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</si>
  <si>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</si>
  <si>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</si>
  <si>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</si>
  <si>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</si>
  <si>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</si>
  <si>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</si>
  <si>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</si>
  <si>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</si>
  <si>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</si>
  <si>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</si>
  <si>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</si>
  <si>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</si>
  <si>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</si>
  <si>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</si>
  <si>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</si>
  <si>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</si>
  <si>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</si>
  <si>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</si>
  <si>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</si>
  <si>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</si>
  <si>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</si>
  <si>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</si>
  <si>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</si>
  <si>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</si>
  <si>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</si>
  <si>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</si>
  <si>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</si>
  <si>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</si>
  <si>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</si>
  <si>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</si>
  <si>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</si>
  <si>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</si>
  <si>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</si>
  <si>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</si>
  <si>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</si>
  <si>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</si>
  <si>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</si>
  <si>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</si>
  <si>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</si>
  <si>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</si>
  <si>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</si>
  <si>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</si>
  <si>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</si>
  <si>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</si>
  <si>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</si>
  <si>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</si>
  <si>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</si>
  <si>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</si>
  <si>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</si>
  <si>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</si>
  <si>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</si>
  <si>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</si>
  <si>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</si>
  <si>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</si>
  <si>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</si>
  <si>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</si>
  <si>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</si>
  <si>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</si>
  <si>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</si>
  <si>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</si>
  <si>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</si>
  <si>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</si>
  <si>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</si>
  <si>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</si>
  <si>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</si>
  <si>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</si>
  <si>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</si>
  <si>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</si>
  <si>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</si>
  <si>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</si>
  <si>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</si>
  <si>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</si>
  <si>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</si>
  <si>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</si>
  <si>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</si>
  <si>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</si>
  <si>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</si>
  <si>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</si>
  <si>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</si>
  <si>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</si>
  <si>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</si>
  <si>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</si>
  <si>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</si>
  <si>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</si>
  <si>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</si>
  <si>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</si>
  <si>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</si>
  <si>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</si>
  <si>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</si>
  <si>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</si>
  <si>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</si>
  <si>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</si>
  <si>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</si>
  <si>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</si>
  <si>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</si>
  <si>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</si>
  <si>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</si>
  <si>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</si>
  <si>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</si>
  <si>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</si>
  <si>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</si>
  <si>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</si>
  <si>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</si>
  <si>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</si>
  <si>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</si>
  <si>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</si>
  <si>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</si>
  <si>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</si>
  <si>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</si>
  <si>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</si>
  <si>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</si>
  <si>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</si>
  <si>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</si>
  <si>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</si>
  <si>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</si>
  <si>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</si>
  <si>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</si>
  <si>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</si>
  <si>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</si>
  <si>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</si>
  <si>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</si>
  <si>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</si>
  <si>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</si>
  <si>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</si>
  <si>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</si>
  <si>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</si>
  <si>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</si>
  <si>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</si>
  <si>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</si>
  <si>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</si>
  <si>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</si>
  <si>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</si>
  <si>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</si>
  <si>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</si>
  <si>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</si>
  <si>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</si>
  <si>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</si>
  <si>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</si>
  <si>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</si>
  <si>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</si>
  <si>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</si>
  <si>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</si>
  <si>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</si>
  <si>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</si>
  <si>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</si>
  <si>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</si>
  <si>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</si>
  <si>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</si>
  <si>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</si>
  <si>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</si>
  <si>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</si>
  <si>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</si>
  <si>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</si>
  <si>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</si>
  <si>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</si>
  <si>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</si>
  <si>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</si>
  <si>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</si>
  <si>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</si>
  <si>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</si>
  <si>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</si>
  <si>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</si>
  <si>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</si>
  <si>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</si>
  <si>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</si>
  <si>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</si>
  <si>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</si>
  <si>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</si>
  <si>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</si>
  <si>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</si>
  <si>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</si>
  <si>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</si>
  <si>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</si>
  <si>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</si>
  <si>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</si>
  <si>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</si>
  <si>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</si>
  <si>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</si>
  <si>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</si>
  <si>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</si>
  <si>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</si>
  <si>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</si>
  <si>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</si>
  <si>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</si>
  <si>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</si>
  <si>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</si>
  <si>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</si>
  <si>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</si>
  <si>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</si>
  <si>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</si>
  <si>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</si>
  <si>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</si>
  <si>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</si>
  <si>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</si>
  <si>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</si>
  <si>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</si>
  <si>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</si>
  <si>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</si>
  <si>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</si>
  <si>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</si>
  <si>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</si>
  <si>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</si>
  <si>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</si>
  <si>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</si>
  <si>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</si>
  <si>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</si>
  <si>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</si>
  <si>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</si>
  <si>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</si>
  <si>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</si>
  <si>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</si>
  <si>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</si>
  <si>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</si>
  <si>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</si>
  <si>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</si>
  <si>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</si>
  <si>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</si>
  <si>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</si>
  <si>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</si>
  <si>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</si>
  <si>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</si>
  <si>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</si>
  <si>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</si>
  <si>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</si>
  <si>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</si>
  <si>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</si>
  <si>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</si>
  <si>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</si>
  <si>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</si>
  <si>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</si>
  <si>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</si>
  <si>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</si>
  <si>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</si>
  <si>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</si>
  <si>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</si>
  <si>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</si>
  <si>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</si>
  <si>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</si>
  <si>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</si>
  <si>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</si>
  <si>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</si>
  <si>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</si>
  <si>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</si>
  <si>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</si>
  <si>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</si>
  <si>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</si>
  <si>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</si>
  <si>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</si>
  <si>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</si>
  <si>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</si>
  <si>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</si>
  <si>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</si>
  <si>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</si>
  <si>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</si>
  <si>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</si>
  <si>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</si>
  <si>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</si>
  <si>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</si>
  <si>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</si>
  <si>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</si>
  <si>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</si>
  <si>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</si>
  <si>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</si>
  <si>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</si>
  <si>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</si>
  <si>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</si>
  <si>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</si>
  <si>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</si>
  <si>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</si>
  <si>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</si>
  <si>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</si>
  <si>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</si>
  <si>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</si>
  <si>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</si>
  <si>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</si>
  <si>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</si>
  <si>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</si>
  <si>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</si>
  <si>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</si>
  <si>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</si>
  <si>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</si>
  <si>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</si>
  <si>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</si>
  <si>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</si>
  <si>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</si>
  <si>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</si>
  <si>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</si>
  <si>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</si>
  <si>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</si>
  <si>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</si>
  <si>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</si>
  <si>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</si>
  <si>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</si>
  <si>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</si>
  <si>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</si>
  <si>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</si>
  <si>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</si>
  <si>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</si>
  <si>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</si>
  <si>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</si>
  <si>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</si>
  <si>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</si>
  <si>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</si>
  <si>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</si>
  <si>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</si>
  <si>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</si>
  <si>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</si>
  <si>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</si>
  <si>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</si>
  <si>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</si>
  <si>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</si>
  <si>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</si>
  <si>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</si>
  <si>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</si>
  <si>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</si>
  <si>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</si>
  <si>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</si>
  <si>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</si>
  <si>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</si>
  <si>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</si>
  <si>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</si>
  <si>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</si>
  <si>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</si>
  <si>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</si>
  <si>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</si>
  <si>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</si>
  <si>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</si>
  <si>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</si>
  <si>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</si>
  <si>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</si>
  <si>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</si>
  <si>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</si>
  <si>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</si>
  <si>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</si>
  <si>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</si>
  <si>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</si>
  <si>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</si>
  <si>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</si>
  <si>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</si>
  <si>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</si>
  <si>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</si>
  <si>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</si>
  <si>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</si>
  <si>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</si>
  <si>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</si>
  <si>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</si>
  <si>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</si>
  <si>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</si>
  <si>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</si>
  <si>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</si>
  <si>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</si>
  <si>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</si>
  <si>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</si>
  <si>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</si>
  <si>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</si>
  <si>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</si>
  <si>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</si>
  <si>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</si>
  <si>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</si>
  <si>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</si>
  <si>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</si>
  <si>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</si>
  <si>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</si>
  <si>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</si>
  <si>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</si>
  <si>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</si>
  <si>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</si>
  <si>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</si>
  <si>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</si>
  <si>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</si>
  <si>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</si>
  <si>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</si>
  <si>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</si>
  <si>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</si>
  <si>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</si>
  <si>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</si>
  <si>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</si>
  <si>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</si>
  <si>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</si>
  <si>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</si>
  <si>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</si>
  <si>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</si>
  <si>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</si>
  <si>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</si>
  <si>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</si>
  <si>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</si>
  <si>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</si>
  <si>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</si>
  <si>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</si>
  <si>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นางนิภา  อิ่มชมชื่น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</si>
  <si>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</si>
  <si>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</si>
  <si>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</si>
  <si>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</si>
  <si>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</si>
  <si>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</si>
  <si>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</si>
  <si>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</si>
  <si>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</si>
  <si>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</si>
  <si>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</si>
  <si>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</si>
  <si>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</si>
  <si>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</si>
  <si>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</si>
  <si>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</si>
  <si>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</si>
  <si>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</si>
  <si>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</si>
  <si>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</si>
  <si>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</si>
  <si>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</si>
  <si>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</si>
  <si>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</si>
  <si>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</si>
  <si>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</si>
  <si>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</si>
  <si>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</si>
  <si>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</si>
  <si>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</si>
  <si>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</si>
  <si>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</si>
  <si>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</si>
  <si>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</si>
  <si>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</si>
  <si>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</si>
  <si>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นางชนาภา  อัครศรี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</si>
  <si>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</si>
  <si>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</si>
  <si>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</si>
  <si>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</si>
  <si>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</si>
  <si>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</si>
  <si>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</si>
  <si>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</si>
  <si>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</si>
  <si>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</si>
  <si>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เพิ่ม 1000*2+600</t>
  </si>
  <si>
    <t>1500*4</t>
  </si>
  <si>
    <t>1000*9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</si>
  <si>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</si>
  <si>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</si>
  <si>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</si>
  <si>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</si>
  <si>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</si>
  <si>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</si>
  <si>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</si>
  <si>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</si>
  <si>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</si>
  <si>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</si>
  <si>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</si>
  <si>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</si>
  <si>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</si>
  <si>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</si>
  <si>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</si>
  <si>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</si>
  <si>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</si>
  <si>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</si>
  <si>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</si>
  <si>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</si>
  <si>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</si>
  <si>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</si>
  <si>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</si>
  <si>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</si>
  <si>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</si>
  <si>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</si>
  <si>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</si>
  <si>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</si>
  <si>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</si>
  <si>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</si>
  <si>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</si>
  <si>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</si>
  <si>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</si>
  <si>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</si>
  <si>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</si>
  <si>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</si>
  <si>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</si>
  <si>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</si>
  <si>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</si>
  <si>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</si>
  <si>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</si>
  <si>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</si>
  <si>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</si>
  <si>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</si>
  <si>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</si>
  <si>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</si>
  <si>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</si>
  <si>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</si>
  <si>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</si>
  <si>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</si>
  <si>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</si>
  <si>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</si>
  <si>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</si>
  <si>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</si>
  <si>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</si>
  <si>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</si>
  <si>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</si>
  <si>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</si>
  <si>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</si>
  <si>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</si>
  <si>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</si>
  <si>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</si>
  <si>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</si>
  <si>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</si>
  <si>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</si>
  <si>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</si>
  <si>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</si>
  <si>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2 พย.55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</si>
  <si>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</si>
  <si>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</si>
  <si>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</si>
  <si>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</si>
  <si>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</si>
  <si>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</si>
  <si>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</si>
  <si>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</si>
  <si>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</si>
  <si>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</si>
  <si>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</si>
  <si>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</si>
  <si>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20 พย.55</t>
  </si>
  <si>
    <t>น.ส.ปิยนันท์  สุพโปฎก</t>
  </si>
  <si>
    <t>บ้านหนองโสน</t>
  </si>
  <si>
    <t>3 ธค.55</t>
  </si>
  <si>
    <t>238-0-23038-2</t>
  </si>
  <si>
    <t>238-1-32047-4</t>
  </si>
  <si>
    <t>คืน</t>
  </si>
  <si>
    <t>28 มกราคม 2556</t>
  </si>
  <si>
    <t>ประจำเดือน มกราคม</t>
  </si>
  <si>
    <t>น.ส.นันทนา  กาญจนา</t>
  </si>
  <si>
    <t>น.ส.รัตติกา  มีอนันต์</t>
  </si>
  <si>
    <t>นายอนุเวศ  พะเนตรรัมย์</t>
  </si>
  <si>
    <t>เพื่อเครดิตบัญชีเงินฝากธนาคารของพนักงานราชการ ในวันที่ 28 มกราคม 2556 (เว้นวันทำการสุดท้ายของธนาคารในเดือนนี้) ตามรายละเอียดข้างบนนี้เรียบร้อยแล้ว</t>
  </si>
  <si>
    <t>203-0-12330-7</t>
  </si>
  <si>
    <t>203-0-30041-1</t>
  </si>
  <si>
    <t>203-0-30044-6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</si>
</sst>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6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93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8" fontId="28" fillId="0" borderId="5" xfId="1" applyNumberFormat="1" applyFont="1" applyBorder="1" applyProtection="1"/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187" fontId="31" fillId="0" borderId="7" xfId="1" applyFont="1" applyBorder="1" applyAlignment="1">
      <alignment horizontal="right"/>
    </xf>
    <xf numFmtId="187" fontId="31" fillId="0" borderId="7" xfId="1" applyNumberFormat="1" applyFont="1" applyBorder="1" applyProtection="1"/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14" fillId="0" borderId="7" xfId="1" applyFont="1" applyBorder="1" applyAlignment="1">
      <alignment horizontal="right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8" fontId="25" fillId="0" borderId="5" xfId="1" applyNumberFormat="1" applyFont="1" applyBorder="1" applyProtection="1"/>
    <xf numFmtId="187" fontId="27" fillId="0" borderId="6" xfId="1" applyNumberFormat="1" applyFont="1" applyBorder="1" applyProtection="1"/>
    <xf numFmtId="188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187" fontId="14" fillId="0" borderId="6" xfId="1" applyFont="1" applyBorder="1" applyAlignment="1">
      <alignment horizontal="right"/>
    </xf>
    <xf numFmtId="188" fontId="28" fillId="0" borderId="6" xfId="1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34" fillId="0" borderId="7" xfId="1" applyFont="1" applyBorder="1" applyProtection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187" fontId="28" fillId="0" borderId="6" xfId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8" fontId="30" fillId="0" borderId="11" xfId="0" applyNumberFormat="1" applyFont="1" applyBorder="1" applyAlignment="1" applyProtection="1">
      <alignment horizontal="left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187" fontId="27" fillId="0" borderId="17" xfId="1" applyFont="1" applyBorder="1" applyAlignment="1">
      <alignment horizontal="right"/>
    </xf>
    <xf numFmtId="188" fontId="30" fillId="0" borderId="17" xfId="1" applyNumberFormat="1" applyFont="1" applyBorder="1" applyProtection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187" fontId="14" fillId="0" borderId="5" xfId="1" applyFont="1" applyBorder="1" applyProtection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1" fontId="27" fillId="0" borderId="5" xfId="0" applyNumberFormat="1" applyFont="1" applyBorder="1" applyAlignment="1">
      <alignment horizontal="center"/>
    </xf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187" fontId="33" fillId="0" borderId="5" xfId="1" applyFont="1" applyBorder="1" applyProtection="1"/>
    <xf numFmtId="37" fontId="27" fillId="0" borderId="12" xfId="0" applyNumberFormat="1" applyFont="1" applyBorder="1" applyProtection="1"/>
    <xf numFmtId="37" fontId="31" fillId="0" borderId="14" xfId="0" applyNumberFormat="1" applyFont="1" applyBorder="1" applyProtection="1"/>
    <xf numFmtId="187" fontId="31" fillId="0" borderId="6" xfId="1" applyNumberFormat="1" applyFont="1" applyBorder="1" applyProtection="1"/>
    <xf numFmtId="189" fontId="31" fillId="0" borderId="6" xfId="1" applyNumberFormat="1" applyFont="1" applyBorder="1" applyAlignment="1">
      <alignment horizontal="center"/>
    </xf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0" fillId="0" borderId="7" xfId="1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8" fontId="30" fillId="0" borderId="15" xfId="1" applyNumberFormat="1" applyFont="1" applyBorder="1" applyAlignment="1" applyProtection="1">
      <alignment horizontal="center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37" fontId="25" fillId="0" borderId="14" xfId="0" applyNumberFormat="1" applyFont="1" applyBorder="1" applyProtection="1"/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7" fontId="29" fillId="0" borderId="0" xfId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89" fontId="27" fillId="0" borderId="0" xfId="0" applyNumberFormat="1" applyFont="1" applyBorder="1"/>
    <xf numFmtId="187" fontId="24" fillId="0" borderId="0" xfId="1" applyFont="1" applyBorder="1"/>
    <xf numFmtId="188" fontId="24" fillId="0" borderId="0" xfId="1" applyNumberFormat="1" applyFont="1" applyBorder="1"/>
    <xf numFmtId="187" fontId="27" fillId="0" borderId="0" xfId="1" applyFont="1" applyBorder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5" fontId="27" fillId="0" borderId="0" xfId="0" quotePrefix="1" applyNumberFormat="1" applyFont="1"/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535</v>
      </c>
    </row>
    <row r="5" spans="1:15" ht="23.25" customHeight="1" x14ac:dyDescent="0.5">
      <c r="A5" s="5" t="s">
        <v>189</v>
      </c>
      <c r="F5" s="1" t="s">
        <v>536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74" t="s">
        <v>1</v>
      </c>
      <c r="B7" s="476" t="s">
        <v>2</v>
      </c>
      <c r="C7" s="474" t="s">
        <v>9</v>
      </c>
      <c r="D7" s="474" t="s">
        <v>10</v>
      </c>
      <c r="E7" s="479" t="s">
        <v>11</v>
      </c>
      <c r="F7" s="103" t="s">
        <v>230</v>
      </c>
      <c r="G7" s="471" t="s">
        <v>14</v>
      </c>
      <c r="H7" s="472"/>
      <c r="I7" s="472"/>
      <c r="J7" s="473"/>
      <c r="K7" s="6" t="s">
        <v>6</v>
      </c>
      <c r="L7" s="6" t="s">
        <v>3</v>
      </c>
    </row>
    <row r="8" spans="1:15" ht="23.25" customHeight="1" x14ac:dyDescent="0.5">
      <c r="A8" s="475"/>
      <c r="B8" s="477"/>
      <c r="C8" s="478"/>
      <c r="D8" s="478"/>
      <c r="E8" s="480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537</v>
      </c>
      <c r="C9" s="80" t="s">
        <v>37</v>
      </c>
      <c r="D9" s="87" t="s">
        <v>539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538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81">
        <v>2</v>
      </c>
      <c r="B27" s="481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15"/>
      <c r="N27" s="26"/>
    </row>
    <row r="28" spans="1:15" ht="23.25" customHeight="1" x14ac:dyDescent="0.5">
      <c r="A28" s="474" t="s">
        <v>1</v>
      </c>
      <c r="B28" s="476" t="s">
        <v>2</v>
      </c>
      <c r="C28" s="474" t="s">
        <v>9</v>
      </c>
      <c r="D28" s="474" t="s">
        <v>10</v>
      </c>
      <c r="E28" s="479" t="s">
        <v>11</v>
      </c>
      <c r="F28" s="93" t="s">
        <v>230</v>
      </c>
      <c r="G28" s="471" t="s">
        <v>14</v>
      </c>
      <c r="H28" s="472"/>
      <c r="I28" s="472"/>
      <c r="J28" s="473"/>
      <c r="K28" s="6" t="s">
        <v>6</v>
      </c>
      <c r="L28" s="6" t="s">
        <v>3</v>
      </c>
    </row>
    <row r="29" spans="1:15" ht="23.25" customHeight="1" x14ac:dyDescent="0.5">
      <c r="A29" s="475"/>
      <c r="B29" s="477"/>
      <c r="C29" s="478"/>
      <c r="D29" s="478"/>
      <c r="E29" s="480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81">
        <v>3</v>
      </c>
      <c r="B52" s="481"/>
      <c r="C52" s="481"/>
      <c r="D52" s="481"/>
      <c r="E52" s="481"/>
      <c r="F52" s="481"/>
      <c r="G52" s="481"/>
      <c r="H52" s="481"/>
      <c r="I52" s="481"/>
      <c r="J52" s="481"/>
      <c r="K52" s="481"/>
      <c r="L52" s="481"/>
      <c r="M52" s="15"/>
      <c r="N52" s="26"/>
    </row>
    <row r="53" spans="1:14" ht="23.25" customHeight="1" x14ac:dyDescent="0.5">
      <c r="A53" s="474" t="s">
        <v>1</v>
      </c>
      <c r="B53" s="476" t="s">
        <v>2</v>
      </c>
      <c r="C53" s="474" t="s">
        <v>9</v>
      </c>
      <c r="D53" s="474" t="s">
        <v>10</v>
      </c>
      <c r="E53" s="479" t="s">
        <v>11</v>
      </c>
      <c r="F53" s="93" t="s">
        <v>230</v>
      </c>
      <c r="G53" s="471" t="s">
        <v>14</v>
      </c>
      <c r="H53" s="472"/>
      <c r="I53" s="472"/>
      <c r="J53" s="473"/>
      <c r="K53" s="6" t="s">
        <v>6</v>
      </c>
      <c r="L53" s="6" t="s">
        <v>3</v>
      </c>
    </row>
    <row r="54" spans="1:14" ht="23.25" customHeight="1" x14ac:dyDescent="0.5">
      <c r="A54" s="475"/>
      <c r="B54" s="477"/>
      <c r="C54" s="478"/>
      <c r="D54" s="478"/>
      <c r="E54" s="480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81">
        <v>4</v>
      </c>
      <c r="B77" s="481"/>
      <c r="C77" s="481"/>
      <c r="D77" s="481"/>
      <c r="E77" s="481"/>
      <c r="F77" s="481"/>
      <c r="G77" s="481"/>
      <c r="H77" s="481"/>
      <c r="I77" s="481"/>
      <c r="J77" s="481"/>
      <c r="K77" s="481"/>
      <c r="L77" s="481"/>
      <c r="M77" s="15"/>
      <c r="N77" s="26"/>
    </row>
    <row r="78" spans="1:14" ht="23.25" customHeight="1" x14ac:dyDescent="0.5">
      <c r="A78" s="474" t="s">
        <v>1</v>
      </c>
      <c r="B78" s="476" t="s">
        <v>2</v>
      </c>
      <c r="C78" s="474" t="s">
        <v>9</v>
      </c>
      <c r="D78" s="474" t="s">
        <v>10</v>
      </c>
      <c r="E78" s="479" t="s">
        <v>11</v>
      </c>
      <c r="F78" s="93" t="s">
        <v>230</v>
      </c>
      <c r="G78" s="471" t="s">
        <v>14</v>
      </c>
      <c r="H78" s="472"/>
      <c r="I78" s="472"/>
      <c r="J78" s="473"/>
      <c r="K78" s="6" t="s">
        <v>6</v>
      </c>
      <c r="L78" s="6" t="s">
        <v>3</v>
      </c>
    </row>
    <row r="79" spans="1:14" ht="23.25" customHeight="1" x14ac:dyDescent="0.5">
      <c r="A79" s="475"/>
      <c r="B79" s="477"/>
      <c r="C79" s="478"/>
      <c r="D79" s="478"/>
      <c r="E79" s="480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81">
        <v>5</v>
      </c>
      <c r="B102" s="481"/>
      <c r="C102" s="481"/>
      <c r="D102" s="481"/>
      <c r="E102" s="481"/>
      <c r="F102" s="481"/>
      <c r="G102" s="481"/>
      <c r="H102" s="481"/>
      <c r="I102" s="481"/>
      <c r="J102" s="481"/>
      <c r="K102" s="481"/>
      <c r="L102" s="481"/>
      <c r="M102" s="15"/>
      <c r="N102" s="26"/>
    </row>
    <row r="103" spans="1:14" ht="23.25" customHeight="1" x14ac:dyDescent="0.5">
      <c r="A103" s="474" t="s">
        <v>1</v>
      </c>
      <c r="B103" s="476" t="s">
        <v>2</v>
      </c>
      <c r="C103" s="474" t="s">
        <v>9</v>
      </c>
      <c r="D103" s="474" t="s">
        <v>10</v>
      </c>
      <c r="E103" s="479" t="s">
        <v>11</v>
      </c>
      <c r="F103" s="93" t="s">
        <v>230</v>
      </c>
      <c r="G103" s="471" t="s">
        <v>14</v>
      </c>
      <c r="H103" s="472"/>
      <c r="I103" s="472"/>
      <c r="J103" s="473"/>
      <c r="K103" s="6" t="s">
        <v>6</v>
      </c>
      <c r="L103" s="6" t="s">
        <v>3</v>
      </c>
    </row>
    <row r="104" spans="1:14" ht="23.25" customHeight="1" x14ac:dyDescent="0.5">
      <c r="A104" s="475"/>
      <c r="B104" s="477"/>
      <c r="C104" s="478"/>
      <c r="D104" s="478"/>
      <c r="E104" s="480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81">
        <v>6</v>
      </c>
      <c r="B127" s="481"/>
      <c r="C127" s="481"/>
      <c r="D127" s="481"/>
      <c r="E127" s="481"/>
      <c r="F127" s="481"/>
      <c r="G127" s="481"/>
      <c r="H127" s="481"/>
      <c r="I127" s="481"/>
      <c r="J127" s="481"/>
      <c r="K127" s="481"/>
      <c r="L127" s="481"/>
      <c r="M127" s="15"/>
      <c r="N127" s="26"/>
    </row>
    <row r="128" spans="1:14" ht="23.25" customHeight="1" x14ac:dyDescent="0.5">
      <c r="A128" s="474" t="s">
        <v>1</v>
      </c>
      <c r="B128" s="476" t="s">
        <v>2</v>
      </c>
      <c r="C128" s="474" t="s">
        <v>9</v>
      </c>
      <c r="D128" s="474" t="s">
        <v>10</v>
      </c>
      <c r="E128" s="479" t="s">
        <v>11</v>
      </c>
      <c r="F128" s="93" t="s">
        <v>230</v>
      </c>
      <c r="G128" s="471" t="s">
        <v>14</v>
      </c>
      <c r="H128" s="472"/>
      <c r="I128" s="472"/>
      <c r="J128" s="473"/>
      <c r="K128" s="6" t="s">
        <v>6</v>
      </c>
      <c r="L128" s="6" t="s">
        <v>3</v>
      </c>
    </row>
    <row r="129" spans="1:14" ht="23.25" customHeight="1" x14ac:dyDescent="0.5">
      <c r="A129" s="475"/>
      <c r="B129" s="477"/>
      <c r="C129" s="478"/>
      <c r="D129" s="478"/>
      <c r="E129" s="480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81">
        <v>7</v>
      </c>
      <c r="B152" s="481"/>
      <c r="C152" s="481"/>
      <c r="D152" s="481"/>
      <c r="E152" s="481"/>
      <c r="F152" s="481"/>
      <c r="G152" s="481"/>
      <c r="H152" s="481"/>
      <c r="I152" s="481"/>
      <c r="J152" s="481"/>
      <c r="K152" s="481"/>
      <c r="L152" s="481"/>
      <c r="M152" s="15"/>
      <c r="N152" s="26"/>
    </row>
    <row r="153" spans="1:15" ht="21" customHeight="1" x14ac:dyDescent="0.5">
      <c r="A153" s="474" t="s">
        <v>1</v>
      </c>
      <c r="B153" s="476" t="s">
        <v>2</v>
      </c>
      <c r="C153" s="474" t="s">
        <v>9</v>
      </c>
      <c r="D153" s="474" t="s">
        <v>10</v>
      </c>
      <c r="E153" s="479" t="s">
        <v>11</v>
      </c>
      <c r="F153" s="93" t="s">
        <v>230</v>
      </c>
      <c r="G153" s="471" t="s">
        <v>14</v>
      </c>
      <c r="H153" s="472"/>
      <c r="I153" s="472"/>
      <c r="J153" s="473"/>
      <c r="K153" s="6" t="s">
        <v>6</v>
      </c>
      <c r="L153" s="6" t="s">
        <v>3</v>
      </c>
    </row>
    <row r="154" spans="1:15" ht="19.5" customHeight="1" x14ac:dyDescent="0.5">
      <c r="A154" s="475"/>
      <c r="B154" s="477"/>
      <c r="C154" s="478"/>
      <c r="D154" s="478"/>
      <c r="E154" s="480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view="pageBreakPreview" zoomScaleNormal="100" workbookViewId="0">
      <selection activeCell="D56" sqref="D56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1.28515625" style="228" customWidth="1"/>
    <col min="6" max="6" width="8.85546875" style="227" customWidth="1"/>
    <col min="7" max="7" width="9.5703125" style="244" customWidth="1"/>
    <col min="8" max="8" width="10.42578125" style="245" customWidth="1"/>
    <col min="9" max="10" width="8.5703125" style="227" customWidth="1"/>
    <col min="11" max="11" width="7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8" customFormat="1" ht="20.25" customHeight="1" x14ac:dyDescent="0.3">
      <c r="A2" s="458" t="s">
        <v>187</v>
      </c>
      <c r="E2" s="459"/>
      <c r="F2" s="458" t="s">
        <v>183</v>
      </c>
      <c r="G2" s="460"/>
      <c r="H2" s="461"/>
      <c r="I2" s="462"/>
    </row>
    <row r="3" spans="1:15" s="278" customFormat="1" ht="20.25" customHeight="1" x14ac:dyDescent="0.3">
      <c r="A3" s="458" t="s">
        <v>426</v>
      </c>
      <c r="E3" s="459"/>
      <c r="F3" s="458" t="s">
        <v>209</v>
      </c>
      <c r="G3" s="460"/>
      <c r="H3" s="461"/>
      <c r="I3" s="458"/>
      <c r="J3" s="458"/>
      <c r="K3" s="458"/>
      <c r="L3" s="458"/>
      <c r="M3" s="463" t="s">
        <v>563</v>
      </c>
    </row>
    <row r="4" spans="1:15" s="278" customFormat="1" ht="18.75" customHeight="1" x14ac:dyDescent="0.3">
      <c r="A4" s="458" t="s">
        <v>189</v>
      </c>
      <c r="E4" s="459"/>
      <c r="F4" s="278" t="s">
        <v>564</v>
      </c>
      <c r="G4" s="464"/>
      <c r="H4" s="465" t="s">
        <v>0</v>
      </c>
      <c r="L4" s="466"/>
    </row>
    <row r="5" spans="1:15" ht="18" customHeight="1" x14ac:dyDescent="0.35">
      <c r="A5" s="242"/>
      <c r="I5" s="467">
        <v>486</v>
      </c>
      <c r="J5" s="468">
        <v>243</v>
      </c>
      <c r="K5" s="247"/>
    </row>
    <row r="6" spans="1:15" ht="23.25" customHeight="1" x14ac:dyDescent="0.35">
      <c r="A6" s="483" t="s">
        <v>1</v>
      </c>
      <c r="B6" s="485" t="s">
        <v>2</v>
      </c>
      <c r="C6" s="483" t="s">
        <v>9</v>
      </c>
      <c r="D6" s="483" t="s">
        <v>10</v>
      </c>
      <c r="E6" s="488" t="s">
        <v>11</v>
      </c>
      <c r="F6" s="248" t="s">
        <v>562</v>
      </c>
      <c r="G6" s="490" t="s">
        <v>14</v>
      </c>
      <c r="H6" s="491"/>
      <c r="I6" s="491"/>
      <c r="J6" s="491"/>
      <c r="K6" s="492"/>
      <c r="L6" s="249" t="s">
        <v>6</v>
      </c>
      <c r="M6" s="249" t="s">
        <v>3</v>
      </c>
    </row>
    <row r="7" spans="1:15" ht="23.25" customHeight="1" x14ac:dyDescent="0.35">
      <c r="A7" s="484"/>
      <c r="B7" s="486"/>
      <c r="C7" s="487"/>
      <c r="D7" s="487"/>
      <c r="E7" s="489"/>
      <c r="F7" s="250" t="s">
        <v>12</v>
      </c>
      <c r="G7" s="251" t="s">
        <v>12</v>
      </c>
      <c r="H7" s="252" t="s">
        <v>244</v>
      </c>
      <c r="I7" s="253" t="s">
        <v>7</v>
      </c>
      <c r="J7" s="253" t="s">
        <v>8</v>
      </c>
      <c r="K7" s="253" t="s">
        <v>12</v>
      </c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1" t="s">
        <v>96</v>
      </c>
      <c r="E8" s="259">
        <v>17450</v>
      </c>
      <c r="F8" s="260"/>
      <c r="G8" s="261">
        <f>SUM(15000*5%)</f>
        <v>750</v>
      </c>
      <c r="H8" s="262">
        <f>0+7500</f>
        <v>7500</v>
      </c>
      <c r="I8" s="263">
        <f t="shared" ref="I8:I17" si="0">I$5</f>
        <v>486</v>
      </c>
      <c r="J8" s="264"/>
      <c r="K8" s="265"/>
      <c r="L8" s="266">
        <f>SUM(G8:K8)</f>
        <v>8736</v>
      </c>
      <c r="M8" s="267">
        <f t="shared" ref="M8:M23" si="1">SUM(E8+F8-L8)</f>
        <v>8714</v>
      </c>
      <c r="N8" s="268"/>
      <c r="O8" s="269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1" t="s">
        <v>98</v>
      </c>
      <c r="E9" s="259">
        <v>17400</v>
      </c>
      <c r="F9" s="260"/>
      <c r="G9" s="261">
        <f>SUM(15000*5%)</f>
        <v>750</v>
      </c>
      <c r="H9" s="270"/>
      <c r="I9" s="263">
        <f t="shared" si="0"/>
        <v>486</v>
      </c>
      <c r="J9" s="264"/>
      <c r="K9" s="265"/>
      <c r="L9" s="266">
        <f>SUM(G9:K9)</f>
        <v>1236</v>
      </c>
      <c r="M9" s="267">
        <f t="shared" si="1"/>
        <v>16164</v>
      </c>
      <c r="N9" s="268"/>
      <c r="O9" s="269"/>
    </row>
    <row r="10" spans="1:15" s="278" customFormat="1" ht="23.25" customHeight="1" x14ac:dyDescent="0.3">
      <c r="A10" s="256">
        <v>3</v>
      </c>
      <c r="B10" s="257" t="s">
        <v>140</v>
      </c>
      <c r="C10" s="258" t="s">
        <v>141</v>
      </c>
      <c r="D10" s="271" t="s">
        <v>142</v>
      </c>
      <c r="E10" s="259">
        <v>17570</v>
      </c>
      <c r="F10" s="272"/>
      <c r="G10" s="261">
        <f t="shared" ref="G10:G23" si="2">SUM(15000*5%)</f>
        <v>750</v>
      </c>
      <c r="H10" s="273">
        <v>12256</v>
      </c>
      <c r="I10" s="263">
        <f t="shared" si="0"/>
        <v>486</v>
      </c>
      <c r="J10" s="274"/>
      <c r="K10" s="275"/>
      <c r="L10" s="266">
        <f t="shared" ref="L10:L23" si="3">SUM(G10:K10)</f>
        <v>13492</v>
      </c>
      <c r="M10" s="267">
        <f t="shared" si="1"/>
        <v>4078</v>
      </c>
      <c r="N10" s="276"/>
      <c r="O10" s="277"/>
    </row>
    <row r="11" spans="1:15" s="278" customFormat="1" ht="23.25" customHeight="1" x14ac:dyDescent="0.3">
      <c r="A11" s="256">
        <v>4</v>
      </c>
      <c r="B11" s="279" t="s">
        <v>565</v>
      </c>
      <c r="C11" s="280" t="s">
        <v>270</v>
      </c>
      <c r="D11" s="281" t="s">
        <v>570</v>
      </c>
      <c r="E11" s="282">
        <v>18870.96</v>
      </c>
      <c r="F11" s="272"/>
      <c r="G11" s="283">
        <f>SUM(15000*5%)+3870.96*5%+0.45</f>
        <v>943.99800000000005</v>
      </c>
      <c r="H11" s="273"/>
      <c r="I11" s="263"/>
      <c r="J11" s="274"/>
      <c r="K11" s="284"/>
      <c r="L11" s="266">
        <f t="shared" si="3"/>
        <v>943.99800000000005</v>
      </c>
      <c r="M11" s="285">
        <f t="shared" si="1"/>
        <v>17926.962</v>
      </c>
      <c r="N11" s="276"/>
      <c r="O11" s="277"/>
    </row>
    <row r="12" spans="1:15" s="278" customFormat="1" ht="23.25" customHeight="1" x14ac:dyDescent="0.3">
      <c r="A12" s="256">
        <v>5</v>
      </c>
      <c r="B12" s="257" t="s">
        <v>363</v>
      </c>
      <c r="C12" s="258" t="s">
        <v>203</v>
      </c>
      <c r="D12" s="271" t="s">
        <v>205</v>
      </c>
      <c r="E12" s="259">
        <v>16400</v>
      </c>
      <c r="F12" s="272"/>
      <c r="G12" s="261">
        <f t="shared" si="2"/>
        <v>750</v>
      </c>
      <c r="H12" s="286">
        <f>5382.25+3800</f>
        <v>9182.25</v>
      </c>
      <c r="I12" s="263">
        <f t="shared" si="0"/>
        <v>486</v>
      </c>
      <c r="J12" s="287">
        <f>J$5</f>
        <v>243</v>
      </c>
      <c r="K12" s="288"/>
      <c r="L12" s="266">
        <f t="shared" si="3"/>
        <v>10661.25</v>
      </c>
      <c r="M12" s="267">
        <f t="shared" si="1"/>
        <v>5738.75</v>
      </c>
      <c r="N12" s="276"/>
      <c r="O12" s="277"/>
    </row>
    <row r="13" spans="1:15" s="278" customFormat="1" ht="23.25" customHeight="1" x14ac:dyDescent="0.3">
      <c r="A13" s="256">
        <v>6</v>
      </c>
      <c r="B13" s="257" t="s">
        <v>143</v>
      </c>
      <c r="C13" s="258" t="s">
        <v>144</v>
      </c>
      <c r="D13" s="271" t="s">
        <v>145</v>
      </c>
      <c r="E13" s="259">
        <v>17490</v>
      </c>
      <c r="F13" s="272"/>
      <c r="G13" s="261">
        <f t="shared" si="2"/>
        <v>750</v>
      </c>
      <c r="H13" s="273">
        <v>500</v>
      </c>
      <c r="I13" s="263">
        <f t="shared" si="0"/>
        <v>486</v>
      </c>
      <c r="J13" s="274"/>
      <c r="K13" s="275"/>
      <c r="L13" s="266">
        <f t="shared" si="3"/>
        <v>1736</v>
      </c>
      <c r="M13" s="267">
        <f t="shared" si="1"/>
        <v>15754</v>
      </c>
      <c r="N13" s="276"/>
      <c r="O13" s="277"/>
    </row>
    <row r="14" spans="1:15" ht="23.25" customHeight="1" x14ac:dyDescent="0.35">
      <c r="A14" s="256">
        <v>7</v>
      </c>
      <c r="B14" s="257" t="s">
        <v>164</v>
      </c>
      <c r="C14" s="258" t="s">
        <v>144</v>
      </c>
      <c r="D14" s="271" t="s">
        <v>166</v>
      </c>
      <c r="E14" s="259">
        <v>17220</v>
      </c>
      <c r="F14" s="260"/>
      <c r="G14" s="261">
        <f t="shared" si="2"/>
        <v>750</v>
      </c>
      <c r="H14" s="262">
        <f>500+7500</f>
        <v>8000</v>
      </c>
      <c r="I14" s="263">
        <f t="shared" si="0"/>
        <v>486</v>
      </c>
      <c r="J14" s="264"/>
      <c r="K14" s="265"/>
      <c r="L14" s="266">
        <f t="shared" si="3"/>
        <v>9236</v>
      </c>
      <c r="M14" s="267">
        <f t="shared" si="1"/>
        <v>7984</v>
      </c>
      <c r="N14" s="268"/>
      <c r="O14" s="269"/>
    </row>
    <row r="15" spans="1:15" ht="23.25" customHeight="1" x14ac:dyDescent="0.35">
      <c r="A15" s="256">
        <v>8</v>
      </c>
      <c r="B15" s="279" t="s">
        <v>170</v>
      </c>
      <c r="C15" s="280" t="s">
        <v>360</v>
      </c>
      <c r="D15" s="281" t="s">
        <v>171</v>
      </c>
      <c r="E15" s="259">
        <v>17200</v>
      </c>
      <c r="F15" s="260"/>
      <c r="G15" s="261">
        <f t="shared" si="2"/>
        <v>750</v>
      </c>
      <c r="H15" s="289">
        <f>1300+5000+1000</f>
        <v>7300</v>
      </c>
      <c r="I15" s="263">
        <f t="shared" si="0"/>
        <v>486</v>
      </c>
      <c r="J15" s="290"/>
      <c r="K15" s="291"/>
      <c r="L15" s="266">
        <f t="shared" si="3"/>
        <v>8536</v>
      </c>
      <c r="M15" s="267">
        <f t="shared" si="1"/>
        <v>8664</v>
      </c>
      <c r="N15" s="268" t="s">
        <v>475</v>
      </c>
      <c r="O15" s="269"/>
    </row>
    <row r="16" spans="1:15" s="278" customFormat="1" ht="23.25" customHeight="1" x14ac:dyDescent="0.3">
      <c r="A16" s="256">
        <v>9</v>
      </c>
      <c r="B16" s="257" t="s">
        <v>149</v>
      </c>
      <c r="C16" s="258" t="s">
        <v>150</v>
      </c>
      <c r="D16" s="271" t="s">
        <v>151</v>
      </c>
      <c r="E16" s="259">
        <v>17420</v>
      </c>
      <c r="F16" s="272"/>
      <c r="G16" s="261">
        <f t="shared" si="2"/>
        <v>750</v>
      </c>
      <c r="H16" s="292">
        <f>1400+10000</f>
        <v>11400</v>
      </c>
      <c r="I16" s="263">
        <f t="shared" si="0"/>
        <v>486</v>
      </c>
      <c r="J16" s="274"/>
      <c r="K16" s="275"/>
      <c r="L16" s="266">
        <f t="shared" si="3"/>
        <v>12636</v>
      </c>
      <c r="M16" s="267">
        <f t="shared" si="1"/>
        <v>4784</v>
      </c>
      <c r="N16" s="276"/>
      <c r="O16" s="277"/>
    </row>
    <row r="17" spans="1:16" s="278" customFormat="1" ht="23.25" customHeight="1" x14ac:dyDescent="0.3">
      <c r="A17" s="256">
        <v>10</v>
      </c>
      <c r="B17" s="257" t="s">
        <v>154</v>
      </c>
      <c r="C17" s="258" t="s">
        <v>337</v>
      </c>
      <c r="D17" s="271" t="s">
        <v>156</v>
      </c>
      <c r="E17" s="259">
        <v>17400</v>
      </c>
      <c r="F17" s="272"/>
      <c r="G17" s="261">
        <f t="shared" si="2"/>
        <v>750</v>
      </c>
      <c r="H17" s="293">
        <f>600+7500</f>
        <v>8100</v>
      </c>
      <c r="I17" s="263">
        <f t="shared" si="0"/>
        <v>486</v>
      </c>
      <c r="J17" s="287">
        <f>J$5</f>
        <v>243</v>
      </c>
      <c r="K17" s="288"/>
      <c r="L17" s="266">
        <f t="shared" si="3"/>
        <v>9579</v>
      </c>
      <c r="M17" s="267">
        <f t="shared" si="1"/>
        <v>7821</v>
      </c>
      <c r="N17" s="276"/>
      <c r="O17" s="277"/>
    </row>
    <row r="18" spans="1:16" s="278" customFormat="1" ht="23.25" customHeight="1" x14ac:dyDescent="0.3">
      <c r="A18" s="256">
        <v>11</v>
      </c>
      <c r="B18" s="257" t="s">
        <v>56</v>
      </c>
      <c r="C18" s="258" t="s">
        <v>427</v>
      </c>
      <c r="D18" s="271" t="s">
        <v>58</v>
      </c>
      <c r="E18" s="259">
        <v>16970</v>
      </c>
      <c r="F18" s="294"/>
      <c r="G18" s="261">
        <f t="shared" si="2"/>
        <v>750</v>
      </c>
      <c r="H18" s="295"/>
      <c r="I18" s="296"/>
      <c r="J18" s="274"/>
      <c r="K18" s="275"/>
      <c r="L18" s="266">
        <f t="shared" si="3"/>
        <v>750</v>
      </c>
      <c r="M18" s="267">
        <f t="shared" si="1"/>
        <v>16220</v>
      </c>
      <c r="N18" s="297"/>
      <c r="O18" s="277"/>
    </row>
    <row r="19" spans="1:16" s="278" customFormat="1" ht="23.25" customHeight="1" x14ac:dyDescent="0.3">
      <c r="A19" s="256">
        <v>12</v>
      </c>
      <c r="B19" s="298" t="s">
        <v>251</v>
      </c>
      <c r="C19" s="299" t="s">
        <v>323</v>
      </c>
      <c r="D19" s="300" t="s">
        <v>27</v>
      </c>
      <c r="E19" s="301">
        <v>16600</v>
      </c>
      <c r="F19" s="272"/>
      <c r="G19" s="261">
        <f t="shared" si="2"/>
        <v>750</v>
      </c>
      <c r="H19" s="302">
        <v>6000</v>
      </c>
      <c r="I19" s="263">
        <f>I$5</f>
        <v>486</v>
      </c>
      <c r="J19" s="303"/>
      <c r="K19" s="284"/>
      <c r="L19" s="266">
        <f t="shared" si="3"/>
        <v>7236</v>
      </c>
      <c r="M19" s="267">
        <f t="shared" si="1"/>
        <v>9364</v>
      </c>
      <c r="N19" s="276"/>
      <c r="O19" s="277"/>
    </row>
    <row r="20" spans="1:16" ht="23.25" customHeight="1" x14ac:dyDescent="0.35">
      <c r="A20" s="256">
        <v>13</v>
      </c>
      <c r="B20" s="279" t="s">
        <v>340</v>
      </c>
      <c r="C20" s="280" t="s">
        <v>172</v>
      </c>
      <c r="D20" s="281" t="s">
        <v>349</v>
      </c>
      <c r="E20" s="259">
        <v>15000</v>
      </c>
      <c r="F20" s="260"/>
      <c r="G20" s="261">
        <f t="shared" si="2"/>
        <v>750</v>
      </c>
      <c r="H20" s="304">
        <f>3094.75+3800</f>
        <v>6894.75</v>
      </c>
      <c r="I20" s="263">
        <f>I$5</f>
        <v>486</v>
      </c>
      <c r="J20" s="305"/>
      <c r="K20" s="306"/>
      <c r="L20" s="266">
        <f t="shared" si="3"/>
        <v>8130.75</v>
      </c>
      <c r="M20" s="267">
        <f t="shared" si="1"/>
        <v>6869.25</v>
      </c>
      <c r="N20" s="307"/>
      <c r="O20" s="308"/>
      <c r="P20" s="309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71" t="s">
        <v>353</v>
      </c>
      <c r="E21" s="310">
        <v>15000</v>
      </c>
      <c r="F21" s="260"/>
      <c r="G21" s="261">
        <f t="shared" si="2"/>
        <v>750</v>
      </c>
      <c r="H21" s="311">
        <f>1000+0</f>
        <v>1000</v>
      </c>
      <c r="I21" s="312"/>
      <c r="J21" s="264"/>
      <c r="K21" s="265"/>
      <c r="L21" s="266">
        <f t="shared" si="3"/>
        <v>1750</v>
      </c>
      <c r="M21" s="267">
        <f t="shared" si="1"/>
        <v>13250</v>
      </c>
      <c r="N21" s="313"/>
      <c r="O21" s="269"/>
    </row>
    <row r="22" spans="1:16" ht="23.25" customHeight="1" x14ac:dyDescent="0.35">
      <c r="A22" s="256">
        <v>15</v>
      </c>
      <c r="B22" s="279" t="s">
        <v>533</v>
      </c>
      <c r="C22" s="280" t="s">
        <v>346</v>
      </c>
      <c r="D22" s="281" t="s">
        <v>369</v>
      </c>
      <c r="E22" s="259">
        <v>15000</v>
      </c>
      <c r="F22" s="260"/>
      <c r="G22" s="261">
        <f t="shared" si="2"/>
        <v>750</v>
      </c>
      <c r="H22" s="314"/>
      <c r="I22" s="263"/>
      <c r="J22" s="290"/>
      <c r="K22" s="291"/>
      <c r="L22" s="266">
        <f t="shared" si="3"/>
        <v>750</v>
      </c>
      <c r="M22" s="267">
        <f t="shared" si="1"/>
        <v>14250</v>
      </c>
      <c r="N22" s="276"/>
      <c r="O22" s="269"/>
    </row>
    <row r="23" spans="1:16" s="317" customFormat="1" ht="23.25" customHeight="1" x14ac:dyDescent="0.3">
      <c r="A23" s="256">
        <v>16</v>
      </c>
      <c r="B23" s="257" t="s">
        <v>452</v>
      </c>
      <c r="C23" s="258" t="s">
        <v>453</v>
      </c>
      <c r="D23" s="271" t="s">
        <v>454</v>
      </c>
      <c r="E23" s="259">
        <v>15000</v>
      </c>
      <c r="F23" s="272"/>
      <c r="G23" s="261">
        <f t="shared" si="2"/>
        <v>750</v>
      </c>
      <c r="H23" s="273"/>
      <c r="I23" s="263"/>
      <c r="J23" s="274"/>
      <c r="K23" s="275"/>
      <c r="L23" s="266">
        <f t="shared" si="3"/>
        <v>750</v>
      </c>
      <c r="M23" s="267">
        <f t="shared" si="1"/>
        <v>14250</v>
      </c>
      <c r="N23" s="315"/>
      <c r="O23" s="316"/>
    </row>
    <row r="24" spans="1:16" s="278" customFormat="1" ht="23.25" customHeight="1" thickBot="1" x14ac:dyDescent="0.4">
      <c r="A24" s="318"/>
      <c r="B24" s="319" t="s">
        <v>4</v>
      </c>
      <c r="C24" s="320"/>
      <c r="D24" s="321"/>
      <c r="E24" s="322">
        <f>SUM(E8:E23)</f>
        <v>267990.95999999996</v>
      </c>
      <c r="F24" s="322">
        <f t="shared" ref="F24:M24" si="4">SUM(F8:F23)</f>
        <v>0</v>
      </c>
      <c r="G24" s="323">
        <f t="shared" si="4"/>
        <v>12193.998</v>
      </c>
      <c r="H24" s="322">
        <f t="shared" si="4"/>
        <v>78133</v>
      </c>
      <c r="I24" s="323">
        <f t="shared" si="4"/>
        <v>5346</v>
      </c>
      <c r="J24" s="322">
        <f t="shared" si="4"/>
        <v>486</v>
      </c>
      <c r="K24" s="323">
        <f>SUM(K8:K23)</f>
        <v>0</v>
      </c>
      <c r="L24" s="322">
        <f t="shared" si="4"/>
        <v>96158.997999999992</v>
      </c>
      <c r="M24" s="322">
        <f t="shared" si="4"/>
        <v>171831.962</v>
      </c>
      <c r="N24" s="324"/>
      <c r="O24" s="277"/>
    </row>
    <row r="25" spans="1:16" s="278" customFormat="1" ht="18.75" customHeight="1" thickTop="1" x14ac:dyDescent="0.35">
      <c r="A25" s="452"/>
      <c r="B25" s="453"/>
      <c r="C25" s="297"/>
      <c r="D25" s="454"/>
      <c r="E25" s="455"/>
      <c r="F25" s="455"/>
      <c r="G25" s="456"/>
      <c r="H25" s="455"/>
      <c r="I25" s="455"/>
      <c r="J25" s="455"/>
      <c r="K25" s="456"/>
      <c r="L25" s="455"/>
      <c r="M25" s="455"/>
      <c r="N25" s="457"/>
      <c r="O25" s="277"/>
    </row>
    <row r="26" spans="1:16" s="278" customFormat="1" ht="13.5" customHeight="1" x14ac:dyDescent="0.35">
      <c r="A26" s="452"/>
      <c r="B26" s="453"/>
      <c r="C26" s="297"/>
      <c r="D26" s="454"/>
      <c r="E26" s="455"/>
      <c r="F26" s="455"/>
      <c r="G26" s="456"/>
      <c r="H26" s="455"/>
      <c r="I26" s="455"/>
      <c r="J26" s="455"/>
      <c r="K26" s="456"/>
      <c r="L26" s="455"/>
      <c r="M26" s="455"/>
      <c r="N26" s="457"/>
      <c r="O26" s="277"/>
    </row>
    <row r="27" spans="1:16" s="327" customFormat="1" ht="24" customHeight="1" x14ac:dyDescent="0.35">
      <c r="A27" s="482">
        <v>2</v>
      </c>
      <c r="B27" s="482"/>
      <c r="C27" s="482"/>
      <c r="D27" s="482"/>
      <c r="E27" s="482"/>
      <c r="F27" s="482"/>
      <c r="G27" s="482"/>
      <c r="H27" s="482"/>
      <c r="I27" s="482"/>
      <c r="J27" s="482"/>
      <c r="K27" s="482"/>
      <c r="L27" s="482"/>
      <c r="M27" s="482"/>
      <c r="N27" s="325"/>
      <c r="O27" s="326"/>
    </row>
    <row r="28" spans="1:16" ht="23.25" customHeight="1" x14ac:dyDescent="0.35">
      <c r="A28" s="483" t="s">
        <v>1</v>
      </c>
      <c r="B28" s="485" t="s">
        <v>2</v>
      </c>
      <c r="C28" s="483" t="s">
        <v>9</v>
      </c>
      <c r="D28" s="483" t="s">
        <v>10</v>
      </c>
      <c r="E28" s="488" t="s">
        <v>11</v>
      </c>
      <c r="F28" s="248" t="s">
        <v>562</v>
      </c>
      <c r="G28" s="490" t="s">
        <v>14</v>
      </c>
      <c r="H28" s="491"/>
      <c r="I28" s="491"/>
      <c r="J28" s="491"/>
      <c r="K28" s="492"/>
      <c r="L28" s="249" t="s">
        <v>6</v>
      </c>
      <c r="M28" s="249" t="s">
        <v>3</v>
      </c>
    </row>
    <row r="29" spans="1:16" ht="23.25" customHeight="1" x14ac:dyDescent="0.35">
      <c r="A29" s="484"/>
      <c r="B29" s="486"/>
      <c r="C29" s="487"/>
      <c r="D29" s="487"/>
      <c r="E29" s="489"/>
      <c r="F29" s="250" t="s">
        <v>12</v>
      </c>
      <c r="G29" s="251" t="s">
        <v>12</v>
      </c>
      <c r="H29" s="252" t="s">
        <v>244</v>
      </c>
      <c r="I29" s="253" t="s">
        <v>7</v>
      </c>
      <c r="J29" s="253" t="s">
        <v>8</v>
      </c>
      <c r="K29" s="253" t="s">
        <v>12</v>
      </c>
      <c r="L29" s="254" t="s">
        <v>13</v>
      </c>
      <c r="M29" s="255" t="s">
        <v>184</v>
      </c>
    </row>
    <row r="30" spans="1:16" s="278" customFormat="1" ht="23.25" customHeight="1" x14ac:dyDescent="0.3">
      <c r="A30" s="256">
        <v>17</v>
      </c>
      <c r="B30" s="279" t="s">
        <v>266</v>
      </c>
      <c r="C30" s="280" t="s">
        <v>267</v>
      </c>
      <c r="D30" s="281" t="s">
        <v>268</v>
      </c>
      <c r="E30" s="310">
        <v>15250</v>
      </c>
      <c r="F30" s="272"/>
      <c r="G30" s="328">
        <f>SUM(15000*5%)</f>
        <v>750</v>
      </c>
      <c r="H30" s="273"/>
      <c r="I30" s="296"/>
      <c r="J30" s="274"/>
      <c r="K30" s="284"/>
      <c r="L30" s="285">
        <f>SUM(G30:K30)</f>
        <v>750</v>
      </c>
      <c r="M30" s="285">
        <f t="shared" ref="M30:M50" si="5">SUM(E30+F30-L30)</f>
        <v>14500</v>
      </c>
      <c r="N30" s="276"/>
      <c r="O30" s="277"/>
    </row>
    <row r="31" spans="1:16" s="278" customFormat="1" ht="23.25" customHeight="1" x14ac:dyDescent="0.3">
      <c r="A31" s="329">
        <v>18</v>
      </c>
      <c r="B31" s="257" t="s">
        <v>23</v>
      </c>
      <c r="C31" s="258" t="s">
        <v>105</v>
      </c>
      <c r="D31" s="271" t="s">
        <v>25</v>
      </c>
      <c r="E31" s="330">
        <v>16880</v>
      </c>
      <c r="F31" s="294"/>
      <c r="G31" s="261">
        <f>SUM(15000*5%)</f>
        <v>750</v>
      </c>
      <c r="H31" s="273">
        <v>600</v>
      </c>
      <c r="I31" s="263">
        <f>I$5</f>
        <v>486</v>
      </c>
      <c r="J31" s="274"/>
      <c r="K31" s="275"/>
      <c r="L31" s="331">
        <f>SUM(G31:K31)</f>
        <v>1836</v>
      </c>
      <c r="M31" s="285">
        <f t="shared" si="5"/>
        <v>15044</v>
      </c>
      <c r="N31" s="297"/>
      <c r="O31" s="277"/>
    </row>
    <row r="32" spans="1:16" ht="23.25" customHeight="1" x14ac:dyDescent="0.35">
      <c r="A32" s="256">
        <v>19</v>
      </c>
      <c r="B32" s="279" t="s">
        <v>131</v>
      </c>
      <c r="C32" s="280" t="s">
        <v>434</v>
      </c>
      <c r="D32" s="281" t="s">
        <v>132</v>
      </c>
      <c r="E32" s="332">
        <v>17450</v>
      </c>
      <c r="F32" s="260"/>
      <c r="G32" s="261">
        <f t="shared" ref="G32:G35" si="6">SUM(15000*5%)</f>
        <v>750</v>
      </c>
      <c r="H32" s="289">
        <f>0+7500</f>
        <v>7500</v>
      </c>
      <c r="I32" s="263">
        <f>I$5</f>
        <v>486</v>
      </c>
      <c r="J32" s="287">
        <f>J$5</f>
        <v>243</v>
      </c>
      <c r="K32" s="288"/>
      <c r="L32" s="331">
        <f t="shared" ref="L32:L50" si="7">SUM(G32:K32)</f>
        <v>8979</v>
      </c>
      <c r="M32" s="267">
        <f t="shared" si="5"/>
        <v>8471</v>
      </c>
      <c r="N32" s="327"/>
      <c r="O32" s="269"/>
    </row>
    <row r="33" spans="1:15" s="278" customFormat="1" ht="23.25" customHeight="1" x14ac:dyDescent="0.3">
      <c r="A33" s="329">
        <v>20</v>
      </c>
      <c r="B33" s="257" t="s">
        <v>438</v>
      </c>
      <c r="C33" s="258" t="s">
        <v>439</v>
      </c>
      <c r="D33" s="271" t="s">
        <v>447</v>
      </c>
      <c r="E33" s="259">
        <v>15000</v>
      </c>
      <c r="F33" s="294"/>
      <c r="G33" s="261">
        <f t="shared" si="6"/>
        <v>750</v>
      </c>
      <c r="H33" s="273"/>
      <c r="I33" s="263"/>
      <c r="J33" s="274"/>
      <c r="K33" s="275"/>
      <c r="L33" s="331">
        <f t="shared" si="7"/>
        <v>750</v>
      </c>
      <c r="M33" s="267">
        <f t="shared" si="5"/>
        <v>14250</v>
      </c>
      <c r="N33" s="297"/>
      <c r="O33" s="277"/>
    </row>
    <row r="34" spans="1:15" s="278" customFormat="1" ht="23.25" customHeight="1" x14ac:dyDescent="0.3">
      <c r="A34" s="256">
        <v>21</v>
      </c>
      <c r="B34" s="257" t="s">
        <v>307</v>
      </c>
      <c r="C34" s="258" t="s">
        <v>432</v>
      </c>
      <c r="D34" s="271" t="s">
        <v>309</v>
      </c>
      <c r="E34" s="259">
        <v>15260</v>
      </c>
      <c r="F34" s="272"/>
      <c r="G34" s="261">
        <f t="shared" si="6"/>
        <v>750</v>
      </c>
      <c r="H34" s="273">
        <v>600</v>
      </c>
      <c r="I34" s="333"/>
      <c r="J34" s="274"/>
      <c r="K34" s="275"/>
      <c r="L34" s="331">
        <f t="shared" si="7"/>
        <v>1350</v>
      </c>
      <c r="M34" s="267">
        <f t="shared" si="5"/>
        <v>13910</v>
      </c>
      <c r="N34" s="276"/>
      <c r="O34" s="277"/>
    </row>
    <row r="35" spans="1:15" s="278" customFormat="1" ht="23.25" customHeight="1" x14ac:dyDescent="0.3">
      <c r="A35" s="329">
        <v>22</v>
      </c>
      <c r="B35" s="257" t="s">
        <v>389</v>
      </c>
      <c r="C35" s="334" t="s">
        <v>283</v>
      </c>
      <c r="D35" s="271" t="s">
        <v>411</v>
      </c>
      <c r="E35" s="310">
        <v>15000</v>
      </c>
      <c r="F35" s="294"/>
      <c r="G35" s="261">
        <f t="shared" si="6"/>
        <v>750</v>
      </c>
      <c r="H35" s="273"/>
      <c r="I35" s="296"/>
      <c r="J35" s="274"/>
      <c r="K35" s="284"/>
      <c r="L35" s="331">
        <f t="shared" si="7"/>
        <v>750</v>
      </c>
      <c r="M35" s="285">
        <f t="shared" si="5"/>
        <v>14250</v>
      </c>
      <c r="N35" s="276"/>
      <c r="O35" s="277"/>
    </row>
    <row r="36" spans="1:15" s="309" customFormat="1" ht="23.25" customHeight="1" x14ac:dyDescent="0.35">
      <c r="A36" s="256">
        <v>23</v>
      </c>
      <c r="B36" s="279" t="s">
        <v>566</v>
      </c>
      <c r="C36" s="280" t="s">
        <v>173</v>
      </c>
      <c r="D36" s="281" t="s">
        <v>569</v>
      </c>
      <c r="E36" s="335">
        <v>18387.099999999999</v>
      </c>
      <c r="F36" s="336"/>
      <c r="G36" s="283">
        <f>SUM(15000*5%)+3387.1*5%-0.36</f>
        <v>918.995</v>
      </c>
      <c r="H36" s="314"/>
      <c r="I36" s="263"/>
      <c r="J36" s="305"/>
      <c r="K36" s="306"/>
      <c r="L36" s="331">
        <f t="shared" si="7"/>
        <v>918.995</v>
      </c>
      <c r="M36" s="267">
        <f t="shared" si="5"/>
        <v>17468.105</v>
      </c>
      <c r="N36" s="307"/>
      <c r="O36" s="308"/>
    </row>
    <row r="37" spans="1:15" ht="23.25" customHeight="1" x14ac:dyDescent="0.35">
      <c r="A37" s="329">
        <v>24</v>
      </c>
      <c r="B37" s="257" t="s">
        <v>192</v>
      </c>
      <c r="C37" s="258" t="s">
        <v>431</v>
      </c>
      <c r="D37" s="271" t="s">
        <v>199</v>
      </c>
      <c r="E37" s="310">
        <v>16950</v>
      </c>
      <c r="F37" s="260"/>
      <c r="G37" s="337">
        <f>SUM(15000*5%)</f>
        <v>750</v>
      </c>
      <c r="H37" s="262">
        <f>500+6200</f>
        <v>6700</v>
      </c>
      <c r="I37" s="263">
        <f>I$5</f>
        <v>486</v>
      </c>
      <c r="J37" s="264"/>
      <c r="K37" s="265"/>
      <c r="L37" s="331">
        <f t="shared" si="7"/>
        <v>7936</v>
      </c>
      <c r="M37" s="267">
        <f t="shared" si="5"/>
        <v>9014</v>
      </c>
      <c r="N37" s="268"/>
      <c r="O37" s="269"/>
    </row>
    <row r="38" spans="1:15" ht="23.25" customHeight="1" x14ac:dyDescent="0.35">
      <c r="A38" s="329">
        <v>25</v>
      </c>
      <c r="B38" s="257" t="s">
        <v>531</v>
      </c>
      <c r="C38" s="258" t="s">
        <v>175</v>
      </c>
      <c r="D38" s="271" t="s">
        <v>532</v>
      </c>
      <c r="E38" s="259">
        <v>15000</v>
      </c>
      <c r="F38" s="338"/>
      <c r="G38" s="337">
        <f t="shared" ref="G38:G50" si="8">SUM(15000*5%)</f>
        <v>750</v>
      </c>
      <c r="H38" s="311"/>
      <c r="I38" s="339"/>
      <c r="J38" s="264"/>
      <c r="K38" s="265"/>
      <c r="L38" s="331">
        <f t="shared" si="7"/>
        <v>750</v>
      </c>
      <c r="M38" s="267">
        <f t="shared" si="5"/>
        <v>14250</v>
      </c>
      <c r="N38" s="268"/>
      <c r="O38" s="269"/>
    </row>
    <row r="39" spans="1:15" ht="23.25" customHeight="1" x14ac:dyDescent="0.35">
      <c r="A39" s="256">
        <v>26</v>
      </c>
      <c r="B39" s="257" t="s">
        <v>525</v>
      </c>
      <c r="C39" s="258" t="s">
        <v>526</v>
      </c>
      <c r="D39" s="271" t="s">
        <v>527</v>
      </c>
      <c r="E39" s="340">
        <v>15000</v>
      </c>
      <c r="F39" s="341"/>
      <c r="G39" s="337">
        <f t="shared" si="8"/>
        <v>750</v>
      </c>
      <c r="H39" s="311">
        <v>800</v>
      </c>
      <c r="I39" s="263"/>
      <c r="J39" s="264"/>
      <c r="K39" s="265"/>
      <c r="L39" s="331">
        <f t="shared" si="7"/>
        <v>1550</v>
      </c>
      <c r="M39" s="267">
        <f t="shared" si="5"/>
        <v>13450</v>
      </c>
      <c r="N39" s="342"/>
      <c r="O39" s="269"/>
    </row>
    <row r="40" spans="1:15" s="278" customFormat="1" ht="23.25" customHeight="1" x14ac:dyDescent="0.3">
      <c r="A40" s="329">
        <v>27</v>
      </c>
      <c r="B40" s="298" t="s">
        <v>305</v>
      </c>
      <c r="C40" s="343" t="s">
        <v>40</v>
      </c>
      <c r="D40" s="300" t="s">
        <v>308</v>
      </c>
      <c r="E40" s="301">
        <v>15190</v>
      </c>
      <c r="F40" s="272"/>
      <c r="G40" s="337">
        <f t="shared" si="8"/>
        <v>750</v>
      </c>
      <c r="H40" s="344">
        <f>600+7500</f>
        <v>8100</v>
      </c>
      <c r="I40" s="345">
        <f>I$5</f>
        <v>486</v>
      </c>
      <c r="J40" s="303"/>
      <c r="K40" s="284"/>
      <c r="L40" s="331">
        <f t="shared" si="7"/>
        <v>9336</v>
      </c>
      <c r="M40" s="346">
        <f t="shared" si="5"/>
        <v>5854</v>
      </c>
      <c r="N40" s="276"/>
      <c r="O40" s="277"/>
    </row>
    <row r="41" spans="1:15" s="278" customFormat="1" ht="23.25" customHeight="1" x14ac:dyDescent="0.3">
      <c r="A41" s="256">
        <v>28</v>
      </c>
      <c r="B41" s="257" t="s">
        <v>39</v>
      </c>
      <c r="C41" s="334" t="s">
        <v>40</v>
      </c>
      <c r="D41" s="271" t="s">
        <v>233</v>
      </c>
      <c r="E41" s="259">
        <v>17280</v>
      </c>
      <c r="F41" s="294"/>
      <c r="G41" s="337">
        <f t="shared" si="8"/>
        <v>750</v>
      </c>
      <c r="H41" s="293">
        <f>600+7500</f>
        <v>8100</v>
      </c>
      <c r="I41" s="263">
        <f>I$5</f>
        <v>486</v>
      </c>
      <c r="J41" s="274">
        <f>J$5</f>
        <v>243</v>
      </c>
      <c r="K41" s="275"/>
      <c r="L41" s="331">
        <f t="shared" si="7"/>
        <v>9579</v>
      </c>
      <c r="M41" s="267">
        <f t="shared" si="5"/>
        <v>7701</v>
      </c>
      <c r="N41" s="297"/>
      <c r="O41" s="277"/>
    </row>
    <row r="42" spans="1:15" s="278" customFormat="1" ht="23.25" customHeight="1" x14ac:dyDescent="0.3">
      <c r="A42" s="329">
        <v>29</v>
      </c>
      <c r="B42" s="279" t="s">
        <v>50</v>
      </c>
      <c r="C42" s="347" t="s">
        <v>51</v>
      </c>
      <c r="D42" s="281" t="s">
        <v>52</v>
      </c>
      <c r="E42" s="301">
        <v>17010</v>
      </c>
      <c r="F42" s="272"/>
      <c r="G42" s="337">
        <f t="shared" si="8"/>
        <v>750</v>
      </c>
      <c r="H42" s="348"/>
      <c r="I42" s="349"/>
      <c r="J42" s="287"/>
      <c r="K42" s="275"/>
      <c r="L42" s="331">
        <f t="shared" si="7"/>
        <v>750</v>
      </c>
      <c r="M42" s="267">
        <f t="shared" si="5"/>
        <v>16260</v>
      </c>
      <c r="N42" s="297"/>
      <c r="O42" s="277"/>
    </row>
    <row r="43" spans="1:15" s="278" customFormat="1" ht="23.25" customHeight="1" x14ac:dyDescent="0.3">
      <c r="A43" s="256">
        <v>30</v>
      </c>
      <c r="B43" s="279" t="s">
        <v>318</v>
      </c>
      <c r="C43" s="280" t="s">
        <v>51</v>
      </c>
      <c r="D43" s="281" t="s">
        <v>330</v>
      </c>
      <c r="E43" s="301">
        <v>15000</v>
      </c>
      <c r="F43" s="272"/>
      <c r="G43" s="337">
        <f t="shared" si="8"/>
        <v>750</v>
      </c>
      <c r="H43" s="350">
        <v>4552.75</v>
      </c>
      <c r="I43" s="263"/>
      <c r="J43" s="287"/>
      <c r="K43" s="351"/>
      <c r="L43" s="331">
        <f t="shared" si="7"/>
        <v>5302.75</v>
      </c>
      <c r="M43" s="267">
        <f t="shared" si="5"/>
        <v>9697.25</v>
      </c>
      <c r="N43" s="297"/>
      <c r="O43" s="277"/>
    </row>
    <row r="44" spans="1:15" s="278" customFormat="1" ht="23.25" customHeight="1" x14ac:dyDescent="0.3">
      <c r="A44" s="329">
        <v>31</v>
      </c>
      <c r="B44" s="257" t="s">
        <v>373</v>
      </c>
      <c r="C44" s="258" t="s">
        <v>51</v>
      </c>
      <c r="D44" s="271" t="s">
        <v>410</v>
      </c>
      <c r="E44" s="352">
        <v>15000</v>
      </c>
      <c r="F44" s="272"/>
      <c r="G44" s="337">
        <f t="shared" si="8"/>
        <v>750</v>
      </c>
      <c r="H44" s="273"/>
      <c r="I44" s="263"/>
      <c r="J44" s="274"/>
      <c r="K44" s="275"/>
      <c r="L44" s="331">
        <f t="shared" si="7"/>
        <v>750</v>
      </c>
      <c r="M44" s="267">
        <f t="shared" si="5"/>
        <v>14250</v>
      </c>
      <c r="N44" s="353"/>
      <c r="O44" s="277"/>
    </row>
    <row r="45" spans="1:15" s="278" customFormat="1" ht="23.25" customHeight="1" x14ac:dyDescent="0.3">
      <c r="A45" s="329">
        <v>32</v>
      </c>
      <c r="B45" s="257" t="s">
        <v>235</v>
      </c>
      <c r="C45" s="258" t="s">
        <v>51</v>
      </c>
      <c r="D45" s="271" t="s">
        <v>117</v>
      </c>
      <c r="E45" s="352">
        <v>17470</v>
      </c>
      <c r="F45" s="272"/>
      <c r="G45" s="337">
        <f t="shared" si="8"/>
        <v>750</v>
      </c>
      <c r="H45" s="292">
        <f>3635+7500</f>
        <v>11135</v>
      </c>
      <c r="I45" s="263">
        <f>I$5</f>
        <v>486</v>
      </c>
      <c r="J45" s="274"/>
      <c r="K45" s="275"/>
      <c r="L45" s="331">
        <f t="shared" si="7"/>
        <v>12371</v>
      </c>
      <c r="M45" s="267">
        <f t="shared" si="5"/>
        <v>5099</v>
      </c>
      <c r="N45" s="276"/>
      <c r="O45" s="277"/>
    </row>
    <row r="46" spans="1:15" s="278" customFormat="1" ht="23.25" customHeight="1" x14ac:dyDescent="0.3">
      <c r="A46" s="329">
        <v>33</v>
      </c>
      <c r="B46" s="257" t="s">
        <v>303</v>
      </c>
      <c r="C46" s="258" t="s">
        <v>228</v>
      </c>
      <c r="D46" s="271" t="s">
        <v>304</v>
      </c>
      <c r="E46" s="259">
        <v>15350</v>
      </c>
      <c r="F46" s="294"/>
      <c r="G46" s="337">
        <f t="shared" si="8"/>
        <v>750</v>
      </c>
      <c r="H46" s="292">
        <f>0+3800</f>
        <v>3800</v>
      </c>
      <c r="I46" s="263">
        <f>I$5</f>
        <v>486</v>
      </c>
      <c r="J46" s="274"/>
      <c r="K46" s="275"/>
      <c r="L46" s="331">
        <f t="shared" si="7"/>
        <v>5036</v>
      </c>
      <c r="M46" s="267">
        <f t="shared" si="5"/>
        <v>10314</v>
      </c>
      <c r="N46" s="297"/>
      <c r="O46" s="277"/>
    </row>
    <row r="47" spans="1:15" ht="23.25" customHeight="1" x14ac:dyDescent="0.35">
      <c r="A47" s="256">
        <v>34</v>
      </c>
      <c r="B47" s="257" t="s">
        <v>162</v>
      </c>
      <c r="C47" s="258" t="s">
        <v>228</v>
      </c>
      <c r="D47" s="271" t="s">
        <v>163</v>
      </c>
      <c r="E47" s="259">
        <v>17550</v>
      </c>
      <c r="F47" s="260"/>
      <c r="G47" s="337">
        <f t="shared" si="8"/>
        <v>750</v>
      </c>
      <c r="H47" s="262">
        <f>600+4100</f>
        <v>4700</v>
      </c>
      <c r="I47" s="263">
        <f>I$5</f>
        <v>486</v>
      </c>
      <c r="J47" s="264"/>
      <c r="K47" s="265"/>
      <c r="L47" s="331">
        <f t="shared" si="7"/>
        <v>5936</v>
      </c>
      <c r="M47" s="267">
        <f t="shared" si="5"/>
        <v>11614</v>
      </c>
      <c r="N47" s="268"/>
      <c r="O47" s="269"/>
    </row>
    <row r="48" spans="1:15" ht="23.25" customHeight="1" x14ac:dyDescent="0.35">
      <c r="A48" s="329">
        <v>35</v>
      </c>
      <c r="B48" s="257" t="s">
        <v>375</v>
      </c>
      <c r="C48" s="258" t="s">
        <v>24</v>
      </c>
      <c r="D48" s="271" t="s">
        <v>409</v>
      </c>
      <c r="E48" s="352">
        <v>15000</v>
      </c>
      <c r="F48" s="272"/>
      <c r="G48" s="337">
        <f t="shared" si="8"/>
        <v>750</v>
      </c>
      <c r="H48" s="354">
        <f>600+6200</f>
        <v>6800</v>
      </c>
      <c r="I48" s="263">
        <f>I$5</f>
        <v>486</v>
      </c>
      <c r="J48" s="264"/>
      <c r="K48" s="265"/>
      <c r="L48" s="331">
        <f t="shared" si="7"/>
        <v>8036</v>
      </c>
      <c r="M48" s="267">
        <f t="shared" si="5"/>
        <v>6964</v>
      </c>
      <c r="N48" s="353"/>
      <c r="O48" s="269"/>
    </row>
    <row r="49" spans="1:15" s="317" customFormat="1" ht="23.25" customHeight="1" x14ac:dyDescent="0.3">
      <c r="A49" s="256">
        <v>36</v>
      </c>
      <c r="B49" s="257" t="s">
        <v>446</v>
      </c>
      <c r="C49" s="258" t="s">
        <v>24</v>
      </c>
      <c r="D49" s="271" t="s">
        <v>451</v>
      </c>
      <c r="E49" s="330">
        <v>15000</v>
      </c>
      <c r="F49" s="272"/>
      <c r="G49" s="337">
        <f>SUM(15000*5%)</f>
        <v>750</v>
      </c>
      <c r="H49" s="273">
        <v>600</v>
      </c>
      <c r="I49" s="355"/>
      <c r="J49" s="275"/>
      <c r="K49" s="275"/>
      <c r="L49" s="331">
        <f t="shared" si="7"/>
        <v>1350</v>
      </c>
      <c r="M49" s="267">
        <f t="shared" si="5"/>
        <v>13650</v>
      </c>
      <c r="N49" s="356"/>
      <c r="O49" s="316"/>
    </row>
    <row r="50" spans="1:15" s="278" customFormat="1" ht="23.25" customHeight="1" x14ac:dyDescent="0.3">
      <c r="A50" s="256">
        <v>37</v>
      </c>
      <c r="B50" s="357" t="s">
        <v>341</v>
      </c>
      <c r="C50" s="299" t="s">
        <v>24</v>
      </c>
      <c r="D50" s="358" t="s">
        <v>342</v>
      </c>
      <c r="E50" s="359">
        <v>15000</v>
      </c>
      <c r="F50" s="360"/>
      <c r="G50" s="337">
        <f t="shared" si="8"/>
        <v>750</v>
      </c>
      <c r="H50" s="361">
        <f>500+3800</f>
        <v>4300</v>
      </c>
      <c r="I50" s="263">
        <f>I$5</f>
        <v>486</v>
      </c>
      <c r="J50" s="274">
        <f>J$5</f>
        <v>243</v>
      </c>
      <c r="K50" s="284"/>
      <c r="L50" s="331">
        <f t="shared" si="7"/>
        <v>5779</v>
      </c>
      <c r="M50" s="267">
        <f t="shared" si="5"/>
        <v>9221</v>
      </c>
      <c r="N50" s="297"/>
    </row>
    <row r="51" spans="1:15" ht="23.25" customHeight="1" thickBot="1" x14ac:dyDescent="0.4">
      <c r="A51" s="319"/>
      <c r="B51" s="319" t="s">
        <v>4</v>
      </c>
      <c r="C51" s="362"/>
      <c r="D51" s="363"/>
      <c r="E51" s="322">
        <f>SUM(E24,E30:E50)</f>
        <v>603018.05999999994</v>
      </c>
      <c r="F51" s="322">
        <f>SUM(F24,F30:F50)</f>
        <v>0</v>
      </c>
      <c r="G51" s="449">
        <f>SUM(G24,G30:G50)+0.01</f>
        <v>28113.002999999997</v>
      </c>
      <c r="H51" s="422">
        <f>SUM(H24,H30:H50)</f>
        <v>146420.75</v>
      </c>
      <c r="I51" s="323">
        <f>SUM(I24,I30:I50)</f>
        <v>10206</v>
      </c>
      <c r="J51" s="323">
        <f>SUM(J24,J30:J50)</f>
        <v>1215</v>
      </c>
      <c r="K51" s="323">
        <f>SUM(K24,K30:K50)</f>
        <v>0</v>
      </c>
      <c r="L51" s="322">
        <f>SUM(L24,L30:L50)</f>
        <v>185954.74299999999</v>
      </c>
      <c r="M51" s="322">
        <f>SUM(M24,M30:M50)</f>
        <v>417063.31699999998</v>
      </c>
      <c r="N51" s="364"/>
      <c r="O51" s="269"/>
    </row>
    <row r="52" spans="1:15" s="327" customFormat="1" ht="20.25" customHeight="1" thickTop="1" x14ac:dyDescent="0.35">
      <c r="A52" s="482">
        <v>3</v>
      </c>
      <c r="B52" s="482"/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325"/>
      <c r="O52" s="326"/>
    </row>
    <row r="53" spans="1:15" ht="23.25" customHeight="1" x14ac:dyDescent="0.35">
      <c r="A53" s="483" t="s">
        <v>1</v>
      </c>
      <c r="B53" s="485" t="s">
        <v>2</v>
      </c>
      <c r="C53" s="483" t="s">
        <v>9</v>
      </c>
      <c r="D53" s="483" t="s">
        <v>10</v>
      </c>
      <c r="E53" s="488" t="s">
        <v>11</v>
      </c>
      <c r="F53" s="248" t="s">
        <v>562</v>
      </c>
      <c r="G53" s="490" t="s">
        <v>14</v>
      </c>
      <c r="H53" s="491"/>
      <c r="I53" s="491"/>
      <c r="J53" s="491"/>
      <c r="K53" s="492"/>
      <c r="L53" s="249" t="s">
        <v>6</v>
      </c>
      <c r="M53" s="249" t="s">
        <v>3</v>
      </c>
    </row>
    <row r="54" spans="1:15" ht="23.25" customHeight="1" x14ac:dyDescent="0.35">
      <c r="A54" s="484"/>
      <c r="B54" s="486"/>
      <c r="C54" s="487"/>
      <c r="D54" s="487"/>
      <c r="E54" s="489"/>
      <c r="F54" s="250" t="s">
        <v>12</v>
      </c>
      <c r="G54" s="251" t="s">
        <v>12</v>
      </c>
      <c r="H54" s="252" t="s">
        <v>244</v>
      </c>
      <c r="I54" s="253" t="s">
        <v>7</v>
      </c>
      <c r="J54" s="253" t="s">
        <v>8</v>
      </c>
      <c r="K54" s="253" t="s">
        <v>12</v>
      </c>
      <c r="L54" s="254" t="s">
        <v>13</v>
      </c>
      <c r="M54" s="255" t="s">
        <v>184</v>
      </c>
    </row>
    <row r="55" spans="1:15" s="278" customFormat="1" ht="23.25" customHeight="1" x14ac:dyDescent="0.3">
      <c r="A55" s="329">
        <v>38</v>
      </c>
      <c r="B55" s="279" t="s">
        <v>425</v>
      </c>
      <c r="C55" s="280" t="s">
        <v>37</v>
      </c>
      <c r="D55" s="281" t="s">
        <v>104</v>
      </c>
      <c r="E55" s="365">
        <v>17690</v>
      </c>
      <c r="F55" s="366"/>
      <c r="G55" s="328">
        <f>SUM(15000*5%)</f>
        <v>750</v>
      </c>
      <c r="H55" s="350">
        <v>500</v>
      </c>
      <c r="I55" s="263">
        <f>I$5</f>
        <v>486</v>
      </c>
      <c r="J55" s="287"/>
      <c r="K55" s="367"/>
      <c r="L55" s="266">
        <f>SUM(G55:K55)</f>
        <v>1736</v>
      </c>
      <c r="M55" s="267">
        <f t="shared" ref="M55:M75" si="9">SUM(E55+F55-L55)</f>
        <v>15954</v>
      </c>
      <c r="N55" s="297"/>
      <c r="O55" s="277"/>
    </row>
    <row r="56" spans="1:15" s="278" customFormat="1" ht="23.25" customHeight="1" x14ac:dyDescent="0.3">
      <c r="A56" s="329">
        <v>39</v>
      </c>
      <c r="B56" s="257" t="s">
        <v>36</v>
      </c>
      <c r="C56" s="334" t="s">
        <v>37</v>
      </c>
      <c r="D56" s="271" t="s">
        <v>38</v>
      </c>
      <c r="E56" s="301">
        <v>17220</v>
      </c>
      <c r="F56" s="272"/>
      <c r="G56" s="328">
        <f>SUM(15000*5%)</f>
        <v>750</v>
      </c>
      <c r="H56" s="273">
        <v>900</v>
      </c>
      <c r="I56" s="355"/>
      <c r="J56" s="267"/>
      <c r="K56" s="368"/>
      <c r="L56" s="369">
        <f>SUM(G56:K56)</f>
        <v>1650</v>
      </c>
      <c r="M56" s="267">
        <f t="shared" si="9"/>
        <v>15570</v>
      </c>
      <c r="N56" s="276"/>
      <c r="O56" s="277"/>
    </row>
    <row r="57" spans="1:15" ht="23.25" customHeight="1" x14ac:dyDescent="0.35">
      <c r="A57" s="256">
        <v>40</v>
      </c>
      <c r="B57" s="298" t="s">
        <v>540</v>
      </c>
      <c r="C57" s="343" t="s">
        <v>37</v>
      </c>
      <c r="D57" s="300" t="s">
        <v>539</v>
      </c>
      <c r="E57" s="370">
        <v>15000</v>
      </c>
      <c r="F57" s="272"/>
      <c r="G57" s="328">
        <f t="shared" ref="G57:G69" si="10">SUM(15000*5%)</f>
        <v>750</v>
      </c>
      <c r="H57" s="371"/>
      <c r="I57" s="263"/>
      <c r="J57" s="372"/>
      <c r="K57" s="373"/>
      <c r="L57" s="369">
        <f t="shared" ref="L57:L75" si="11">SUM(G57:K57)</f>
        <v>750</v>
      </c>
      <c r="M57" s="267">
        <f t="shared" si="9"/>
        <v>14250</v>
      </c>
      <c r="N57" s="353"/>
      <c r="O57" s="269"/>
    </row>
    <row r="58" spans="1:15" s="278" customFormat="1" ht="23.25" customHeight="1" x14ac:dyDescent="0.3">
      <c r="A58" s="329">
        <v>41</v>
      </c>
      <c r="B58" s="357" t="s">
        <v>276</v>
      </c>
      <c r="C58" s="299" t="s">
        <v>277</v>
      </c>
      <c r="D58" s="358" t="s">
        <v>278</v>
      </c>
      <c r="E58" s="310">
        <v>15330</v>
      </c>
      <c r="F58" s="272"/>
      <c r="G58" s="328">
        <f t="shared" si="10"/>
        <v>750</v>
      </c>
      <c r="H58" s="273">
        <v>500</v>
      </c>
      <c r="I58" s="263">
        <f>I$5</f>
        <v>486</v>
      </c>
      <c r="J58" s="274"/>
      <c r="K58" s="284"/>
      <c r="L58" s="369">
        <f t="shared" si="11"/>
        <v>1736</v>
      </c>
      <c r="M58" s="285">
        <f t="shared" si="9"/>
        <v>13594</v>
      </c>
      <c r="N58" s="276"/>
      <c r="O58" s="277"/>
    </row>
    <row r="59" spans="1:15" ht="23.25" customHeight="1" x14ac:dyDescent="0.35">
      <c r="A59" s="256">
        <v>42</v>
      </c>
      <c r="B59" s="257" t="s">
        <v>159</v>
      </c>
      <c r="C59" s="258" t="s">
        <v>160</v>
      </c>
      <c r="D59" s="271" t="s">
        <v>161</v>
      </c>
      <c r="E59" s="259">
        <v>17050</v>
      </c>
      <c r="F59" s="260"/>
      <c r="G59" s="328">
        <f t="shared" si="10"/>
        <v>750</v>
      </c>
      <c r="H59" s="262">
        <f>800+7500+400</f>
        <v>8700</v>
      </c>
      <c r="I59" s="263">
        <f>I$5</f>
        <v>486</v>
      </c>
      <c r="J59" s="287">
        <f>J$5</f>
        <v>243</v>
      </c>
      <c r="K59" s="275"/>
      <c r="L59" s="369">
        <f t="shared" si="11"/>
        <v>10179</v>
      </c>
      <c r="M59" s="267">
        <f t="shared" si="9"/>
        <v>6871</v>
      </c>
      <c r="N59" s="353"/>
      <c r="O59" s="269"/>
    </row>
    <row r="60" spans="1:15" s="278" customFormat="1" ht="23.25" customHeight="1" x14ac:dyDescent="0.3">
      <c r="A60" s="329">
        <v>43</v>
      </c>
      <c r="B60" s="298" t="s">
        <v>376</v>
      </c>
      <c r="C60" s="343" t="s">
        <v>245</v>
      </c>
      <c r="D60" s="300" t="s">
        <v>412</v>
      </c>
      <c r="E60" s="259">
        <v>15000</v>
      </c>
      <c r="F60" s="294"/>
      <c r="G60" s="328">
        <f t="shared" si="10"/>
        <v>750</v>
      </c>
      <c r="H60" s="292">
        <f>600+3800</f>
        <v>4400</v>
      </c>
      <c r="I60" s="263">
        <f>I$5</f>
        <v>486</v>
      </c>
      <c r="J60" s="274"/>
      <c r="K60" s="284"/>
      <c r="L60" s="369">
        <f t="shared" si="11"/>
        <v>5636</v>
      </c>
      <c r="M60" s="285">
        <f t="shared" si="9"/>
        <v>9364</v>
      </c>
      <c r="N60" s="374"/>
      <c r="O60" s="277"/>
    </row>
    <row r="61" spans="1:15" s="278" customFormat="1" ht="23.25" customHeight="1" x14ac:dyDescent="0.3">
      <c r="A61" s="256">
        <v>44</v>
      </c>
      <c r="B61" s="298" t="s">
        <v>377</v>
      </c>
      <c r="C61" s="343" t="s">
        <v>55</v>
      </c>
      <c r="D61" s="300" t="s">
        <v>408</v>
      </c>
      <c r="E61" s="301">
        <v>15000</v>
      </c>
      <c r="F61" s="272"/>
      <c r="G61" s="328">
        <f t="shared" si="10"/>
        <v>750</v>
      </c>
      <c r="H61" s="302">
        <v>700</v>
      </c>
      <c r="I61" s="375"/>
      <c r="J61" s="303"/>
      <c r="K61" s="284"/>
      <c r="L61" s="369">
        <f t="shared" si="11"/>
        <v>1450</v>
      </c>
      <c r="M61" s="267">
        <f t="shared" si="9"/>
        <v>13550</v>
      </c>
      <c r="N61" s="353"/>
      <c r="O61" s="277"/>
    </row>
    <row r="62" spans="1:15" ht="23.25" customHeight="1" x14ac:dyDescent="0.35">
      <c r="A62" s="329">
        <v>45</v>
      </c>
      <c r="B62" s="279" t="s">
        <v>465</v>
      </c>
      <c r="C62" s="347" t="s">
        <v>55</v>
      </c>
      <c r="D62" s="281" t="s">
        <v>466</v>
      </c>
      <c r="E62" s="310">
        <v>15000</v>
      </c>
      <c r="F62" s="260"/>
      <c r="G62" s="328">
        <f t="shared" si="10"/>
        <v>750</v>
      </c>
      <c r="H62" s="314">
        <v>700</v>
      </c>
      <c r="I62" s="263"/>
      <c r="J62" s="290"/>
      <c r="K62" s="291"/>
      <c r="L62" s="369">
        <f t="shared" si="11"/>
        <v>1450</v>
      </c>
      <c r="M62" s="267">
        <f t="shared" si="9"/>
        <v>13550</v>
      </c>
      <c r="N62" s="268"/>
      <c r="O62" s="269"/>
    </row>
    <row r="63" spans="1:15" s="278" customFormat="1" ht="23.25" customHeight="1" x14ac:dyDescent="0.3">
      <c r="A63" s="256">
        <v>46</v>
      </c>
      <c r="B63" s="257" t="s">
        <v>112</v>
      </c>
      <c r="C63" s="258" t="s">
        <v>57</v>
      </c>
      <c r="D63" s="271" t="s">
        <v>113</v>
      </c>
      <c r="E63" s="259">
        <v>17700</v>
      </c>
      <c r="F63" s="272"/>
      <c r="G63" s="328">
        <f t="shared" si="10"/>
        <v>750</v>
      </c>
      <c r="H63" s="293">
        <f>2600+1500</f>
        <v>4100</v>
      </c>
      <c r="I63" s="263">
        <f>I$5</f>
        <v>486</v>
      </c>
      <c r="J63" s="274"/>
      <c r="K63" s="275"/>
      <c r="L63" s="369">
        <f t="shared" si="11"/>
        <v>5336</v>
      </c>
      <c r="M63" s="267">
        <f t="shared" si="9"/>
        <v>12364</v>
      </c>
      <c r="N63" s="276"/>
      <c r="O63" s="277"/>
    </row>
    <row r="64" spans="1:15" s="278" customFormat="1" ht="23.25" customHeight="1" x14ac:dyDescent="0.3">
      <c r="A64" s="329">
        <v>47</v>
      </c>
      <c r="B64" s="257" t="s">
        <v>462</v>
      </c>
      <c r="C64" s="258" t="s">
        <v>57</v>
      </c>
      <c r="D64" s="271" t="s">
        <v>234</v>
      </c>
      <c r="E64" s="352">
        <v>17980</v>
      </c>
      <c r="F64" s="272"/>
      <c r="G64" s="328">
        <f t="shared" si="10"/>
        <v>750</v>
      </c>
      <c r="H64" s="293">
        <f>4852.75+7500</f>
        <v>12352.75</v>
      </c>
      <c r="I64" s="263">
        <f>I$5</f>
        <v>486</v>
      </c>
      <c r="J64" s="287">
        <f>J$5</f>
        <v>243</v>
      </c>
      <c r="K64" s="288"/>
      <c r="L64" s="369">
        <f t="shared" si="11"/>
        <v>13831.75</v>
      </c>
      <c r="M64" s="267">
        <f t="shared" si="9"/>
        <v>4148.25</v>
      </c>
      <c r="N64" s="276"/>
      <c r="O64" s="277"/>
    </row>
    <row r="65" spans="1:16" s="278" customFormat="1" ht="23.25" customHeight="1" x14ac:dyDescent="0.3">
      <c r="A65" s="256">
        <v>48</v>
      </c>
      <c r="B65" s="257" t="s">
        <v>459</v>
      </c>
      <c r="C65" s="334" t="s">
        <v>57</v>
      </c>
      <c r="D65" s="271" t="s">
        <v>460</v>
      </c>
      <c r="E65" s="259">
        <v>15000</v>
      </c>
      <c r="F65" s="294"/>
      <c r="G65" s="328">
        <f t="shared" si="10"/>
        <v>750</v>
      </c>
      <c r="H65" s="273">
        <v>4919.5</v>
      </c>
      <c r="I65" s="355">
        <f>I$5+1417</f>
        <v>1903</v>
      </c>
      <c r="J65" s="274"/>
      <c r="K65" s="275"/>
      <c r="L65" s="369">
        <f t="shared" si="11"/>
        <v>7572.5</v>
      </c>
      <c r="M65" s="331">
        <f t="shared" si="9"/>
        <v>7427.5</v>
      </c>
      <c r="N65" s="276"/>
      <c r="O65" s="277"/>
    </row>
    <row r="66" spans="1:16" s="278" customFormat="1" ht="23.25" customHeight="1" x14ac:dyDescent="0.3">
      <c r="A66" s="329">
        <v>49</v>
      </c>
      <c r="B66" s="257" t="s">
        <v>110</v>
      </c>
      <c r="C66" s="258" t="s">
        <v>436</v>
      </c>
      <c r="D66" s="271" t="s">
        <v>111</v>
      </c>
      <c r="E66" s="259">
        <v>17440</v>
      </c>
      <c r="F66" s="272"/>
      <c r="G66" s="328">
        <f t="shared" si="10"/>
        <v>750</v>
      </c>
      <c r="H66" s="293">
        <f>4852.75+7500</f>
        <v>12352.75</v>
      </c>
      <c r="I66" s="263">
        <f>I$5</f>
        <v>486</v>
      </c>
      <c r="J66" s="274"/>
      <c r="K66" s="275"/>
      <c r="L66" s="369">
        <f t="shared" si="11"/>
        <v>13588.75</v>
      </c>
      <c r="M66" s="267">
        <f t="shared" si="9"/>
        <v>3851.25</v>
      </c>
      <c r="N66" s="276"/>
      <c r="O66" s="277"/>
    </row>
    <row r="67" spans="1:16" s="278" customFormat="1" ht="23.25" customHeight="1" x14ac:dyDescent="0.3">
      <c r="A67" s="329">
        <v>50</v>
      </c>
      <c r="B67" s="279" t="s">
        <v>44</v>
      </c>
      <c r="C67" s="347" t="s">
        <v>42</v>
      </c>
      <c r="D67" s="281" t="s">
        <v>45</v>
      </c>
      <c r="E67" s="301">
        <v>17060</v>
      </c>
      <c r="F67" s="272"/>
      <c r="G67" s="328">
        <f>SUM(15000*5%)</f>
        <v>750</v>
      </c>
      <c r="H67" s="376">
        <f>5911.25+7500</f>
        <v>13411.25</v>
      </c>
      <c r="I67" s="263">
        <f>I$5</f>
        <v>486</v>
      </c>
      <c r="J67" s="274">
        <f>J$5</f>
        <v>243</v>
      </c>
      <c r="K67" s="284"/>
      <c r="L67" s="369">
        <f t="shared" si="11"/>
        <v>14890.25</v>
      </c>
      <c r="M67" s="267">
        <f t="shared" si="9"/>
        <v>2169.75</v>
      </c>
      <c r="N67" s="297"/>
      <c r="O67" s="277"/>
    </row>
    <row r="68" spans="1:16" s="278" customFormat="1" ht="23.25" customHeight="1" x14ac:dyDescent="0.3">
      <c r="A68" s="256">
        <v>51</v>
      </c>
      <c r="B68" s="279" t="s">
        <v>41</v>
      </c>
      <c r="C68" s="347" t="s">
        <v>42</v>
      </c>
      <c r="D68" s="281" t="s">
        <v>43</v>
      </c>
      <c r="E68" s="301">
        <v>16700</v>
      </c>
      <c r="F68" s="272"/>
      <c r="G68" s="328">
        <f t="shared" si="10"/>
        <v>750</v>
      </c>
      <c r="H68" s="376">
        <f>1458.5+7500</f>
        <v>8958.5</v>
      </c>
      <c r="I68" s="263">
        <f>I$5</f>
        <v>486</v>
      </c>
      <c r="J68" s="287"/>
      <c r="K68" s="351"/>
      <c r="L68" s="369">
        <f t="shared" si="11"/>
        <v>10194.5</v>
      </c>
      <c r="M68" s="267">
        <f t="shared" si="9"/>
        <v>6505.5</v>
      </c>
      <c r="N68" s="297"/>
      <c r="O68" s="277"/>
    </row>
    <row r="69" spans="1:16" ht="23.25" customHeight="1" x14ac:dyDescent="0.35">
      <c r="A69" s="329">
        <v>52</v>
      </c>
      <c r="B69" s="257" t="s">
        <v>157</v>
      </c>
      <c r="C69" s="258" t="s">
        <v>155</v>
      </c>
      <c r="D69" s="271" t="s">
        <v>158</v>
      </c>
      <c r="E69" s="259">
        <v>17440</v>
      </c>
      <c r="F69" s="260"/>
      <c r="G69" s="328">
        <f t="shared" si="10"/>
        <v>750</v>
      </c>
      <c r="H69" s="311">
        <v>2228.25</v>
      </c>
      <c r="I69" s="339"/>
      <c r="J69" s="287"/>
      <c r="K69" s="288"/>
      <c r="L69" s="369">
        <f t="shared" si="11"/>
        <v>2978.25</v>
      </c>
      <c r="M69" s="267">
        <f t="shared" si="9"/>
        <v>14461.75</v>
      </c>
      <c r="N69" s="268"/>
      <c r="O69" s="269"/>
    </row>
    <row r="70" spans="1:16" s="278" customFormat="1" ht="23.25" customHeight="1" x14ac:dyDescent="0.3">
      <c r="A70" s="256">
        <v>53</v>
      </c>
      <c r="B70" s="257" t="s">
        <v>567</v>
      </c>
      <c r="C70" s="334" t="s">
        <v>280</v>
      </c>
      <c r="D70" s="271" t="s">
        <v>571</v>
      </c>
      <c r="E70" s="335">
        <v>12096.77</v>
      </c>
      <c r="F70" s="294"/>
      <c r="G70" s="377">
        <f>SUM(12096.77*5%)+0.16</f>
        <v>604.99850000000004</v>
      </c>
      <c r="H70" s="292"/>
      <c r="I70" s="263"/>
      <c r="J70" s="274"/>
      <c r="K70" s="275"/>
      <c r="L70" s="369">
        <f t="shared" si="11"/>
        <v>604.99850000000004</v>
      </c>
      <c r="M70" s="331">
        <f t="shared" si="9"/>
        <v>11491.771500000001</v>
      </c>
      <c r="N70" s="276"/>
      <c r="O70" s="277"/>
    </row>
    <row r="71" spans="1:16" s="278" customFormat="1" ht="23.25" customHeight="1" x14ac:dyDescent="0.3">
      <c r="A71" s="329">
        <v>54</v>
      </c>
      <c r="B71" s="279" t="s">
        <v>177</v>
      </c>
      <c r="C71" s="280" t="s">
        <v>178</v>
      </c>
      <c r="D71" s="281" t="s">
        <v>179</v>
      </c>
      <c r="E71" s="310">
        <v>16960</v>
      </c>
      <c r="F71" s="294"/>
      <c r="G71" s="328">
        <f>SUM(15000*5%)</f>
        <v>750</v>
      </c>
      <c r="H71" s="378">
        <f>500+6200</f>
        <v>6700</v>
      </c>
      <c r="I71" s="263">
        <f>I$5</f>
        <v>486</v>
      </c>
      <c r="J71" s="287"/>
      <c r="K71" s="288"/>
      <c r="L71" s="369">
        <f t="shared" si="11"/>
        <v>7936</v>
      </c>
      <c r="M71" s="267">
        <f t="shared" si="9"/>
        <v>9024</v>
      </c>
      <c r="N71" s="379"/>
      <c r="O71" s="380"/>
      <c r="P71" s="381"/>
    </row>
    <row r="72" spans="1:16" s="278" customFormat="1" ht="23.25" customHeight="1" x14ac:dyDescent="0.3">
      <c r="A72" s="256">
        <v>55</v>
      </c>
      <c r="B72" s="257" t="s">
        <v>288</v>
      </c>
      <c r="C72" s="334" t="s">
        <v>289</v>
      </c>
      <c r="D72" s="271" t="s">
        <v>290</v>
      </c>
      <c r="E72" s="259">
        <v>15280</v>
      </c>
      <c r="F72" s="294"/>
      <c r="G72" s="328">
        <f t="shared" ref="G72:G75" si="12">SUM(15000*5%)</f>
        <v>750</v>
      </c>
      <c r="H72" s="273">
        <v>800</v>
      </c>
      <c r="I72" s="382"/>
      <c r="J72" s="274"/>
      <c r="K72" s="275"/>
      <c r="L72" s="369">
        <f t="shared" si="11"/>
        <v>1550</v>
      </c>
      <c r="M72" s="331">
        <f t="shared" si="9"/>
        <v>13730</v>
      </c>
      <c r="N72" s="276"/>
      <c r="O72" s="277"/>
    </row>
    <row r="73" spans="1:16" ht="23.25" customHeight="1" x14ac:dyDescent="0.35">
      <c r="A73" s="329">
        <v>56</v>
      </c>
      <c r="B73" s="257" t="s">
        <v>291</v>
      </c>
      <c r="C73" s="334" t="s">
        <v>292</v>
      </c>
      <c r="D73" s="271" t="s">
        <v>293</v>
      </c>
      <c r="E73" s="259">
        <v>15290</v>
      </c>
      <c r="F73" s="341"/>
      <c r="G73" s="328">
        <f t="shared" si="12"/>
        <v>750</v>
      </c>
      <c r="H73" s="311"/>
      <c r="I73" s="339"/>
      <c r="J73" s="264"/>
      <c r="K73" s="265"/>
      <c r="L73" s="369">
        <f>SUM(G73:K73)</f>
        <v>750</v>
      </c>
      <c r="M73" s="267">
        <f t="shared" si="9"/>
        <v>14540</v>
      </c>
      <c r="N73" s="268"/>
      <c r="O73" s="269"/>
    </row>
    <row r="74" spans="1:16" s="278" customFormat="1" ht="23.25" customHeight="1" x14ac:dyDescent="0.3">
      <c r="A74" s="256">
        <v>57</v>
      </c>
      <c r="B74" s="257" t="s">
        <v>469</v>
      </c>
      <c r="C74" s="258" t="s">
        <v>470</v>
      </c>
      <c r="D74" s="271" t="s">
        <v>471</v>
      </c>
      <c r="E74" s="259">
        <v>15000</v>
      </c>
      <c r="F74" s="338"/>
      <c r="G74" s="328">
        <f t="shared" si="12"/>
        <v>750</v>
      </c>
      <c r="H74" s="295"/>
      <c r="I74" s="382"/>
      <c r="J74" s="274"/>
      <c r="K74" s="275"/>
      <c r="L74" s="369">
        <f t="shared" si="11"/>
        <v>750</v>
      </c>
      <c r="M74" s="267">
        <f t="shared" si="9"/>
        <v>14250</v>
      </c>
      <c r="N74" s="383"/>
      <c r="O74" s="277"/>
    </row>
    <row r="75" spans="1:16" s="278" customFormat="1" ht="23.25" customHeight="1" x14ac:dyDescent="0.3">
      <c r="A75" s="256">
        <v>58</v>
      </c>
      <c r="B75" s="257" t="s">
        <v>544</v>
      </c>
      <c r="C75" s="258" t="s">
        <v>245</v>
      </c>
      <c r="D75" s="271" t="s">
        <v>467</v>
      </c>
      <c r="E75" s="310">
        <v>15000</v>
      </c>
      <c r="F75" s="272"/>
      <c r="G75" s="328">
        <f t="shared" si="12"/>
        <v>750</v>
      </c>
      <c r="H75" s="273"/>
      <c r="I75" s="296"/>
      <c r="J75" s="274"/>
      <c r="K75" s="284"/>
      <c r="L75" s="369">
        <f t="shared" si="11"/>
        <v>750</v>
      </c>
      <c r="M75" s="285">
        <f t="shared" si="9"/>
        <v>14250</v>
      </c>
      <c r="N75" s="276"/>
      <c r="O75" s="277"/>
    </row>
    <row r="76" spans="1:16" ht="23.25" customHeight="1" thickBot="1" x14ac:dyDescent="0.4">
      <c r="A76" s="384"/>
      <c r="B76" s="319" t="s">
        <v>4</v>
      </c>
      <c r="C76" s="362"/>
      <c r="D76" s="321"/>
      <c r="E76" s="322">
        <f>SUM(E51,E55:E75)</f>
        <v>939254.83</v>
      </c>
      <c r="F76" s="322">
        <f>SUM(F51,F55:F75)</f>
        <v>0</v>
      </c>
      <c r="G76" s="323">
        <f>SUM(G51,G55:G75)</f>
        <v>43718.001499999998</v>
      </c>
      <c r="H76" s="422">
        <f>SUM(H51,H55:H75)</f>
        <v>228643.75</v>
      </c>
      <c r="I76" s="323">
        <f>SUM(I51,I55:I75)</f>
        <v>16969</v>
      </c>
      <c r="J76" s="323">
        <f>SUM(J51,J55:J75)</f>
        <v>1944</v>
      </c>
      <c r="K76" s="323">
        <f>SUM(K51,K55:K75)</f>
        <v>0</v>
      </c>
      <c r="L76" s="322">
        <f>SUM(L51,L55:L75)</f>
        <v>291274.7415</v>
      </c>
      <c r="M76" s="322">
        <f>SUM(M51,M55:M75)</f>
        <v>647980.08850000007</v>
      </c>
      <c r="N76" s="364"/>
      <c r="O76" s="269"/>
    </row>
    <row r="77" spans="1:16" s="327" customFormat="1" ht="18.75" customHeight="1" thickTop="1" x14ac:dyDescent="0.35">
      <c r="A77" s="482">
        <v>4</v>
      </c>
      <c r="B77" s="482"/>
      <c r="C77" s="482"/>
      <c r="D77" s="482"/>
      <c r="E77" s="482"/>
      <c r="F77" s="482"/>
      <c r="G77" s="482"/>
      <c r="H77" s="482"/>
      <c r="I77" s="482"/>
      <c r="J77" s="482"/>
      <c r="K77" s="482"/>
      <c r="L77" s="482"/>
      <c r="M77" s="482"/>
      <c r="N77" s="325"/>
      <c r="O77" s="326"/>
    </row>
    <row r="78" spans="1:16" ht="23.25" customHeight="1" x14ac:dyDescent="0.35">
      <c r="A78" s="483" t="s">
        <v>1</v>
      </c>
      <c r="B78" s="485" t="s">
        <v>2</v>
      </c>
      <c r="C78" s="483" t="s">
        <v>9</v>
      </c>
      <c r="D78" s="483" t="s">
        <v>10</v>
      </c>
      <c r="E78" s="488" t="s">
        <v>11</v>
      </c>
      <c r="F78" s="248" t="s">
        <v>562</v>
      </c>
      <c r="G78" s="490" t="s">
        <v>14</v>
      </c>
      <c r="H78" s="491"/>
      <c r="I78" s="491"/>
      <c r="J78" s="491"/>
      <c r="K78" s="492"/>
      <c r="L78" s="249" t="s">
        <v>6</v>
      </c>
      <c r="M78" s="249" t="s">
        <v>3</v>
      </c>
    </row>
    <row r="79" spans="1:16" ht="23.25" customHeight="1" x14ac:dyDescent="0.35">
      <c r="A79" s="484"/>
      <c r="B79" s="486"/>
      <c r="C79" s="487"/>
      <c r="D79" s="487"/>
      <c r="E79" s="489"/>
      <c r="F79" s="250" t="s">
        <v>12</v>
      </c>
      <c r="G79" s="251" t="s">
        <v>12</v>
      </c>
      <c r="H79" s="252" t="s">
        <v>244</v>
      </c>
      <c r="I79" s="253" t="s">
        <v>7</v>
      </c>
      <c r="J79" s="253" t="s">
        <v>8</v>
      </c>
      <c r="K79" s="253" t="s">
        <v>12</v>
      </c>
      <c r="L79" s="254" t="s">
        <v>13</v>
      </c>
      <c r="M79" s="255" t="s">
        <v>184</v>
      </c>
    </row>
    <row r="80" spans="1:16" ht="23.25" customHeight="1" x14ac:dyDescent="0.35">
      <c r="A80" s="329">
        <v>59</v>
      </c>
      <c r="B80" s="279" t="s">
        <v>102</v>
      </c>
      <c r="C80" s="280" t="s">
        <v>34</v>
      </c>
      <c r="D80" s="281" t="s">
        <v>103</v>
      </c>
      <c r="E80" s="259">
        <v>17440</v>
      </c>
      <c r="F80" s="260"/>
      <c r="G80" s="328">
        <f>SUM(15000*5%)</f>
        <v>750</v>
      </c>
      <c r="H80" s="378">
        <f>4852.75+7500</f>
        <v>12352.75</v>
      </c>
      <c r="I80" s="263">
        <f>I$5</f>
        <v>486</v>
      </c>
      <c r="J80" s="305"/>
      <c r="K80" s="386"/>
      <c r="L80" s="266">
        <f>SUM(G80:K80)</f>
        <v>13588.75</v>
      </c>
      <c r="M80" s="267">
        <f t="shared" ref="M80:M100" si="13">SUM(E80+F80-L80)</f>
        <v>3851.25</v>
      </c>
      <c r="N80" s="327"/>
      <c r="O80" s="269"/>
    </row>
    <row r="81" spans="1:15" s="278" customFormat="1" ht="23.25" customHeight="1" x14ac:dyDescent="0.3">
      <c r="A81" s="256">
        <v>60</v>
      </c>
      <c r="B81" s="257" t="s">
        <v>33</v>
      </c>
      <c r="C81" s="334" t="s">
        <v>34</v>
      </c>
      <c r="D81" s="271" t="s">
        <v>35</v>
      </c>
      <c r="E81" s="301">
        <v>16970</v>
      </c>
      <c r="F81" s="272"/>
      <c r="G81" s="328">
        <f>SUM(15000*5%)</f>
        <v>750</v>
      </c>
      <c r="H81" s="273">
        <v>3200.5</v>
      </c>
      <c r="I81" s="382"/>
      <c r="J81" s="274"/>
      <c r="K81" s="275"/>
      <c r="L81" s="369">
        <f>SUM(G81:K81)</f>
        <v>3950.5</v>
      </c>
      <c r="M81" s="267">
        <f t="shared" si="13"/>
        <v>13019.5</v>
      </c>
      <c r="N81" s="276"/>
      <c r="O81" s="277"/>
    </row>
    <row r="82" spans="1:15" ht="23.25" customHeight="1" x14ac:dyDescent="0.35">
      <c r="A82" s="387">
        <v>61</v>
      </c>
      <c r="B82" s="257" t="s">
        <v>121</v>
      </c>
      <c r="C82" s="258" t="s">
        <v>26</v>
      </c>
      <c r="D82" s="271" t="s">
        <v>122</v>
      </c>
      <c r="E82" s="352">
        <v>17150</v>
      </c>
      <c r="F82" s="272"/>
      <c r="G82" s="328">
        <f t="shared" ref="G82:G100" si="14">SUM(15000*5%)</f>
        <v>750</v>
      </c>
      <c r="H82" s="450">
        <f>5170.25+7500</f>
        <v>12670.25</v>
      </c>
      <c r="I82" s="263">
        <f>I$5</f>
        <v>486</v>
      </c>
      <c r="J82" s="264"/>
      <c r="K82" s="265"/>
      <c r="L82" s="369">
        <f t="shared" ref="L82:L100" si="15">SUM(G82:K82)</f>
        <v>13906.25</v>
      </c>
      <c r="M82" s="267">
        <f t="shared" si="13"/>
        <v>3243.75</v>
      </c>
      <c r="N82" s="268"/>
      <c r="O82" s="269"/>
    </row>
    <row r="83" spans="1:15" ht="23.25" customHeight="1" x14ac:dyDescent="0.35">
      <c r="A83" s="256">
        <v>62</v>
      </c>
      <c r="B83" s="257" t="s">
        <v>301</v>
      </c>
      <c r="C83" s="334" t="s">
        <v>26</v>
      </c>
      <c r="D83" s="271" t="s">
        <v>302</v>
      </c>
      <c r="E83" s="259">
        <v>15280</v>
      </c>
      <c r="F83" s="341"/>
      <c r="G83" s="328">
        <f t="shared" si="14"/>
        <v>750</v>
      </c>
      <c r="H83" s="292">
        <f>600+5000</f>
        <v>5600</v>
      </c>
      <c r="I83" s="263">
        <f>I$5</f>
        <v>486</v>
      </c>
      <c r="J83" s="264"/>
      <c r="K83" s="265"/>
      <c r="L83" s="369">
        <f t="shared" si="15"/>
        <v>6836</v>
      </c>
      <c r="M83" s="267">
        <f t="shared" si="13"/>
        <v>8444</v>
      </c>
      <c r="N83" s="327"/>
      <c r="O83" s="269"/>
    </row>
    <row r="84" spans="1:15" s="278" customFormat="1" ht="23.25" customHeight="1" x14ac:dyDescent="0.3">
      <c r="A84" s="387">
        <v>63</v>
      </c>
      <c r="B84" s="257" t="s">
        <v>118</v>
      </c>
      <c r="C84" s="258" t="s">
        <v>31</v>
      </c>
      <c r="D84" s="271" t="s">
        <v>119</v>
      </c>
      <c r="E84" s="352">
        <v>17420</v>
      </c>
      <c r="F84" s="272"/>
      <c r="G84" s="328">
        <f t="shared" si="14"/>
        <v>750</v>
      </c>
      <c r="H84" s="273">
        <v>5555.75</v>
      </c>
      <c r="I84" s="382"/>
      <c r="J84" s="274"/>
      <c r="K84" s="275"/>
      <c r="L84" s="369">
        <f t="shared" si="15"/>
        <v>6305.75</v>
      </c>
      <c r="M84" s="267">
        <f t="shared" si="13"/>
        <v>11114.25</v>
      </c>
      <c r="N84" s="276"/>
      <c r="O84" s="277"/>
    </row>
    <row r="85" spans="1:15" s="278" customFormat="1" ht="23.25" customHeight="1" x14ac:dyDescent="0.3">
      <c r="A85" s="256">
        <v>64</v>
      </c>
      <c r="B85" s="257" t="s">
        <v>30</v>
      </c>
      <c r="C85" s="334" t="s">
        <v>31</v>
      </c>
      <c r="D85" s="271" t="s">
        <v>32</v>
      </c>
      <c r="E85" s="301">
        <v>17140</v>
      </c>
      <c r="F85" s="272"/>
      <c r="G85" s="328">
        <f t="shared" si="14"/>
        <v>750</v>
      </c>
      <c r="H85" s="292">
        <f>1000+7500</f>
        <v>8500</v>
      </c>
      <c r="I85" s="263">
        <f>I$5</f>
        <v>486</v>
      </c>
      <c r="J85" s="274"/>
      <c r="K85" s="275"/>
      <c r="L85" s="369">
        <f t="shared" si="15"/>
        <v>9736</v>
      </c>
      <c r="M85" s="267">
        <f t="shared" si="13"/>
        <v>7404</v>
      </c>
      <c r="N85" s="276"/>
      <c r="O85" s="277"/>
    </row>
    <row r="86" spans="1:15" s="278" customFormat="1" ht="23.25" customHeight="1" x14ac:dyDescent="0.3">
      <c r="A86" s="387">
        <v>65</v>
      </c>
      <c r="B86" s="298" t="s">
        <v>108</v>
      </c>
      <c r="C86" s="343" t="s">
        <v>46</v>
      </c>
      <c r="D86" s="300" t="s">
        <v>109</v>
      </c>
      <c r="E86" s="259">
        <v>17420</v>
      </c>
      <c r="F86" s="272"/>
      <c r="G86" s="328">
        <f t="shared" si="14"/>
        <v>750</v>
      </c>
      <c r="H86" s="302">
        <v>500</v>
      </c>
      <c r="I86" s="263">
        <f>I$5</f>
        <v>486</v>
      </c>
      <c r="J86" s="303"/>
      <c r="K86" s="275"/>
      <c r="L86" s="369">
        <f t="shared" si="15"/>
        <v>1736</v>
      </c>
      <c r="M86" s="267">
        <f t="shared" si="13"/>
        <v>15684</v>
      </c>
      <c r="N86" s="276"/>
      <c r="O86" s="277"/>
    </row>
    <row r="87" spans="1:15" s="278" customFormat="1" ht="23.25" customHeight="1" x14ac:dyDescent="0.3">
      <c r="A87" s="256">
        <v>66</v>
      </c>
      <c r="B87" s="279" t="s">
        <v>336</v>
      </c>
      <c r="C87" s="347" t="s">
        <v>46</v>
      </c>
      <c r="D87" s="281" t="s">
        <v>47</v>
      </c>
      <c r="E87" s="301">
        <v>16950</v>
      </c>
      <c r="F87" s="272"/>
      <c r="G87" s="328">
        <f t="shared" si="14"/>
        <v>750</v>
      </c>
      <c r="H87" s="350">
        <v>500</v>
      </c>
      <c r="I87" s="349"/>
      <c r="J87" s="287"/>
      <c r="K87" s="275"/>
      <c r="L87" s="369">
        <f t="shared" si="15"/>
        <v>1250</v>
      </c>
      <c r="M87" s="267">
        <f t="shared" si="13"/>
        <v>15700</v>
      </c>
      <c r="N87" s="297"/>
      <c r="O87" s="277"/>
    </row>
    <row r="88" spans="1:15" s="278" customFormat="1" ht="23.25" customHeight="1" x14ac:dyDescent="0.3">
      <c r="A88" s="387">
        <v>67</v>
      </c>
      <c r="B88" s="279" t="s">
        <v>48</v>
      </c>
      <c r="C88" s="347" t="s">
        <v>46</v>
      </c>
      <c r="D88" s="281" t="s">
        <v>49</v>
      </c>
      <c r="E88" s="301">
        <v>17210</v>
      </c>
      <c r="F88" s="272"/>
      <c r="G88" s="328">
        <f t="shared" si="14"/>
        <v>750</v>
      </c>
      <c r="H88" s="376">
        <f>5528.25+7500</f>
        <v>13028.25</v>
      </c>
      <c r="I88" s="263">
        <f t="shared" ref="I88:I93" si="16">I$5</f>
        <v>486</v>
      </c>
      <c r="J88" s="287"/>
      <c r="K88" s="275"/>
      <c r="L88" s="369">
        <f t="shared" si="15"/>
        <v>14264.25</v>
      </c>
      <c r="M88" s="267">
        <f t="shared" si="13"/>
        <v>2945.75</v>
      </c>
      <c r="N88" s="297"/>
      <c r="O88" s="277"/>
    </row>
    <row r="89" spans="1:15" ht="23.25" customHeight="1" x14ac:dyDescent="0.35">
      <c r="A89" s="256">
        <v>68</v>
      </c>
      <c r="B89" s="279" t="s">
        <v>193</v>
      </c>
      <c r="C89" s="280" t="s">
        <v>99</v>
      </c>
      <c r="D89" s="281" t="s">
        <v>200</v>
      </c>
      <c r="E89" s="310">
        <v>16080</v>
      </c>
      <c r="F89" s="260"/>
      <c r="G89" s="328">
        <f t="shared" si="14"/>
        <v>750</v>
      </c>
      <c r="H89" s="376">
        <f>4820.25+6800</f>
        <v>11620.25</v>
      </c>
      <c r="I89" s="263">
        <f t="shared" si="16"/>
        <v>486</v>
      </c>
      <c r="J89" s="290"/>
      <c r="K89" s="265"/>
      <c r="L89" s="369">
        <f t="shared" si="15"/>
        <v>12856.25</v>
      </c>
      <c r="M89" s="267">
        <f t="shared" si="13"/>
        <v>3223.75</v>
      </c>
      <c r="N89" s="268"/>
      <c r="O89" s="269"/>
    </row>
    <row r="90" spans="1:15" ht="23.25" customHeight="1" x14ac:dyDescent="0.35">
      <c r="A90" s="387">
        <v>69</v>
      </c>
      <c r="B90" s="257" t="s">
        <v>100</v>
      </c>
      <c r="C90" s="258" t="s">
        <v>99</v>
      </c>
      <c r="D90" s="271" t="s">
        <v>101</v>
      </c>
      <c r="E90" s="259">
        <v>17320</v>
      </c>
      <c r="F90" s="260"/>
      <c r="G90" s="328">
        <f t="shared" si="14"/>
        <v>750</v>
      </c>
      <c r="H90" s="293">
        <f>500+7500</f>
        <v>8000</v>
      </c>
      <c r="I90" s="263">
        <f t="shared" si="16"/>
        <v>486</v>
      </c>
      <c r="J90" s="264"/>
      <c r="K90" s="265"/>
      <c r="L90" s="369">
        <f t="shared" si="15"/>
        <v>9236</v>
      </c>
      <c r="M90" s="267">
        <f t="shared" si="13"/>
        <v>8084</v>
      </c>
      <c r="N90" s="327" t="s">
        <v>474</v>
      </c>
      <c r="O90" s="269"/>
    </row>
    <row r="91" spans="1:15" s="278" customFormat="1" ht="23.25" customHeight="1" x14ac:dyDescent="0.3">
      <c r="A91" s="256">
        <v>70</v>
      </c>
      <c r="B91" s="298" t="s">
        <v>314</v>
      </c>
      <c r="C91" s="299" t="s">
        <v>28</v>
      </c>
      <c r="D91" s="300" t="s">
        <v>315</v>
      </c>
      <c r="E91" s="301">
        <v>15000</v>
      </c>
      <c r="F91" s="272"/>
      <c r="G91" s="328">
        <f t="shared" si="14"/>
        <v>750</v>
      </c>
      <c r="H91" s="273">
        <v>700</v>
      </c>
      <c r="I91" s="263">
        <f t="shared" si="16"/>
        <v>486</v>
      </c>
      <c r="J91" s="274"/>
      <c r="K91" s="275"/>
      <c r="L91" s="369">
        <f t="shared" si="15"/>
        <v>1936</v>
      </c>
      <c r="M91" s="267">
        <f t="shared" si="13"/>
        <v>13064</v>
      </c>
      <c r="N91" s="276"/>
      <c r="O91" s="277"/>
    </row>
    <row r="92" spans="1:15" s="278" customFormat="1" ht="23.25" customHeight="1" x14ac:dyDescent="0.3">
      <c r="A92" s="256">
        <v>71</v>
      </c>
      <c r="B92" s="257" t="s">
        <v>366</v>
      </c>
      <c r="C92" s="334" t="s">
        <v>28</v>
      </c>
      <c r="D92" s="271" t="s">
        <v>368</v>
      </c>
      <c r="E92" s="301">
        <v>15000</v>
      </c>
      <c r="F92" s="272"/>
      <c r="G92" s="328">
        <f t="shared" si="14"/>
        <v>750</v>
      </c>
      <c r="H92" s="292">
        <f>0+3800</f>
        <v>3800</v>
      </c>
      <c r="I92" s="263">
        <f t="shared" si="16"/>
        <v>486</v>
      </c>
      <c r="J92" s="274"/>
      <c r="K92" s="275"/>
      <c r="L92" s="369">
        <f t="shared" si="15"/>
        <v>5036</v>
      </c>
      <c r="M92" s="267">
        <f t="shared" si="13"/>
        <v>9964</v>
      </c>
      <c r="N92" s="276"/>
      <c r="O92" s="277"/>
    </row>
    <row r="93" spans="1:15" s="278" customFormat="1" ht="23.25" customHeight="1" x14ac:dyDescent="0.3">
      <c r="A93" s="387">
        <v>72</v>
      </c>
      <c r="B93" s="257" t="s">
        <v>311</v>
      </c>
      <c r="C93" s="388" t="s">
        <v>181</v>
      </c>
      <c r="D93" s="271" t="s">
        <v>312</v>
      </c>
      <c r="E93" s="259">
        <v>15190</v>
      </c>
      <c r="F93" s="294"/>
      <c r="G93" s="328">
        <f t="shared" si="14"/>
        <v>750</v>
      </c>
      <c r="H93" s="273">
        <v>1527.75</v>
      </c>
      <c r="I93" s="389">
        <f t="shared" si="16"/>
        <v>486</v>
      </c>
      <c r="J93" s="274"/>
      <c r="K93" s="275"/>
      <c r="L93" s="369">
        <f t="shared" si="15"/>
        <v>2763.75</v>
      </c>
      <c r="M93" s="267">
        <f t="shared" si="13"/>
        <v>12426.25</v>
      </c>
      <c r="N93" s="353"/>
      <c r="O93" s="277"/>
    </row>
    <row r="94" spans="1:15" s="278" customFormat="1" ht="23.25" customHeight="1" x14ac:dyDescent="0.3">
      <c r="A94" s="256">
        <v>73</v>
      </c>
      <c r="B94" s="257" t="s">
        <v>419</v>
      </c>
      <c r="C94" s="258" t="s">
        <v>181</v>
      </c>
      <c r="D94" s="271" t="s">
        <v>422</v>
      </c>
      <c r="E94" s="310">
        <v>15000</v>
      </c>
      <c r="F94" s="272"/>
      <c r="G94" s="328">
        <f t="shared" si="14"/>
        <v>750</v>
      </c>
      <c r="H94" s="292">
        <f>500+6200</f>
        <v>6700</v>
      </c>
      <c r="I94" s="263"/>
      <c r="J94" s="274"/>
      <c r="K94" s="275"/>
      <c r="L94" s="369">
        <f t="shared" si="15"/>
        <v>7450</v>
      </c>
      <c r="M94" s="285">
        <f t="shared" si="13"/>
        <v>7550</v>
      </c>
      <c r="N94" s="276"/>
      <c r="O94" s="277"/>
    </row>
    <row r="95" spans="1:15" s="278" customFormat="1" ht="23.25" customHeight="1" x14ac:dyDescent="0.3">
      <c r="A95" s="387">
        <v>74</v>
      </c>
      <c r="B95" s="257" t="s">
        <v>528</v>
      </c>
      <c r="C95" s="258" t="s">
        <v>181</v>
      </c>
      <c r="D95" s="271" t="s">
        <v>529</v>
      </c>
      <c r="E95" s="310">
        <v>15000</v>
      </c>
      <c r="F95" s="390"/>
      <c r="G95" s="328">
        <f t="shared" si="14"/>
        <v>750</v>
      </c>
      <c r="H95" s="273">
        <v>800</v>
      </c>
      <c r="I95" s="263"/>
      <c r="J95" s="274"/>
      <c r="K95" s="275"/>
      <c r="L95" s="369">
        <f t="shared" si="15"/>
        <v>1550</v>
      </c>
      <c r="M95" s="267">
        <f t="shared" si="13"/>
        <v>13450</v>
      </c>
      <c r="N95" s="353"/>
      <c r="O95" s="277"/>
    </row>
    <row r="96" spans="1:15" ht="23.25" customHeight="1" x14ac:dyDescent="0.35">
      <c r="A96" s="256">
        <v>75</v>
      </c>
      <c r="B96" s="257" t="s">
        <v>239</v>
      </c>
      <c r="C96" s="258" t="s">
        <v>79</v>
      </c>
      <c r="D96" s="271" t="s">
        <v>130</v>
      </c>
      <c r="E96" s="352">
        <v>17610</v>
      </c>
      <c r="F96" s="260"/>
      <c r="G96" s="328">
        <f t="shared" si="14"/>
        <v>750</v>
      </c>
      <c r="H96" s="295"/>
      <c r="I96" s="263">
        <f>I$5</f>
        <v>486</v>
      </c>
      <c r="J96" s="264"/>
      <c r="K96" s="265"/>
      <c r="L96" s="369">
        <f t="shared" si="15"/>
        <v>1236</v>
      </c>
      <c r="M96" s="267">
        <f t="shared" si="13"/>
        <v>16374</v>
      </c>
      <c r="N96" s="327"/>
      <c r="O96" s="269"/>
    </row>
    <row r="97" spans="1:15" s="278" customFormat="1" ht="23.25" customHeight="1" x14ac:dyDescent="0.3">
      <c r="A97" s="387">
        <v>76</v>
      </c>
      <c r="B97" s="298" t="s">
        <v>81</v>
      </c>
      <c r="C97" s="343" t="s">
        <v>79</v>
      </c>
      <c r="D97" s="300" t="s">
        <v>82</v>
      </c>
      <c r="E97" s="259">
        <v>17000</v>
      </c>
      <c r="F97" s="294"/>
      <c r="G97" s="328">
        <f t="shared" si="14"/>
        <v>750</v>
      </c>
      <c r="H97" s="391">
        <f>1000+7500</f>
        <v>8500</v>
      </c>
      <c r="I97" s="345">
        <f>I$5</f>
        <v>486</v>
      </c>
      <c r="J97" s="392">
        <f>J$5</f>
        <v>243</v>
      </c>
      <c r="K97" s="275"/>
      <c r="L97" s="369">
        <f t="shared" si="15"/>
        <v>9979</v>
      </c>
      <c r="M97" s="267">
        <f t="shared" si="13"/>
        <v>7021</v>
      </c>
      <c r="N97" s="276"/>
      <c r="O97" s="277"/>
    </row>
    <row r="98" spans="1:15" s="278" customFormat="1" ht="23.25" customHeight="1" x14ac:dyDescent="0.3">
      <c r="A98" s="256">
        <v>77</v>
      </c>
      <c r="B98" s="257" t="s">
        <v>555</v>
      </c>
      <c r="C98" s="258" t="s">
        <v>79</v>
      </c>
      <c r="D98" s="271" t="s">
        <v>561</v>
      </c>
      <c r="E98" s="259">
        <f>15000</f>
        <v>15000</v>
      </c>
      <c r="F98" s="294"/>
      <c r="G98" s="328">
        <f t="shared" si="14"/>
        <v>750</v>
      </c>
      <c r="H98" s="295"/>
      <c r="I98" s="296"/>
      <c r="J98" s="274"/>
      <c r="K98" s="275"/>
      <c r="L98" s="369">
        <f t="shared" si="15"/>
        <v>750</v>
      </c>
      <c r="M98" s="267">
        <f t="shared" si="13"/>
        <v>14250</v>
      </c>
      <c r="N98" s="297" t="s">
        <v>556</v>
      </c>
      <c r="O98" s="277"/>
    </row>
    <row r="99" spans="1:15" ht="23.25" customHeight="1" x14ac:dyDescent="0.35">
      <c r="A99" s="387">
        <v>78</v>
      </c>
      <c r="B99" s="257" t="s">
        <v>94</v>
      </c>
      <c r="C99" s="258" t="s">
        <v>92</v>
      </c>
      <c r="D99" s="271" t="s">
        <v>95</v>
      </c>
      <c r="E99" s="259">
        <v>17200</v>
      </c>
      <c r="F99" s="294"/>
      <c r="G99" s="328">
        <f t="shared" si="14"/>
        <v>750</v>
      </c>
      <c r="H99" s="293">
        <f>1511+7500</f>
        <v>9011</v>
      </c>
      <c r="I99" s="263">
        <f>I$5</f>
        <v>486</v>
      </c>
      <c r="J99" s="264"/>
      <c r="K99" s="265"/>
      <c r="L99" s="369">
        <f t="shared" si="15"/>
        <v>10247</v>
      </c>
      <c r="M99" s="267">
        <f t="shared" si="13"/>
        <v>6953</v>
      </c>
      <c r="N99" s="268"/>
      <c r="O99" s="269"/>
    </row>
    <row r="100" spans="1:15" s="278" customFormat="1" ht="23.25" customHeight="1" x14ac:dyDescent="0.3">
      <c r="A100" s="329">
        <v>79</v>
      </c>
      <c r="B100" s="257" t="s">
        <v>135</v>
      </c>
      <c r="C100" s="258" t="s">
        <v>92</v>
      </c>
      <c r="D100" s="271" t="s">
        <v>136</v>
      </c>
      <c r="E100" s="259">
        <v>17500</v>
      </c>
      <c r="F100" s="294"/>
      <c r="G100" s="328">
        <f t="shared" si="14"/>
        <v>750</v>
      </c>
      <c r="H100" s="293">
        <f>500+3800</f>
        <v>4300</v>
      </c>
      <c r="I100" s="263">
        <f>I$5</f>
        <v>486</v>
      </c>
      <c r="J100" s="274"/>
      <c r="K100" s="393"/>
      <c r="L100" s="369">
        <f t="shared" si="15"/>
        <v>5536</v>
      </c>
      <c r="M100" s="267">
        <f t="shared" si="13"/>
        <v>11964</v>
      </c>
      <c r="N100" s="297"/>
      <c r="O100" s="277"/>
    </row>
    <row r="101" spans="1:15" s="278" customFormat="1" ht="23.25" customHeight="1" thickBot="1" x14ac:dyDescent="0.4">
      <c r="A101" s="319"/>
      <c r="B101" s="319" t="s">
        <v>4</v>
      </c>
      <c r="C101" s="362"/>
      <c r="D101" s="321"/>
      <c r="E101" s="422">
        <f>SUM(E76,E80:E100)</f>
        <v>1285134.83</v>
      </c>
      <c r="F101" s="422">
        <f t="shared" ref="F101:M101" si="17">SUM(F76,F80:F100)</f>
        <v>0</v>
      </c>
      <c r="G101" s="323">
        <f t="shared" si="17"/>
        <v>59468.001499999998</v>
      </c>
      <c r="H101" s="422">
        <f t="shared" si="17"/>
        <v>345510.25</v>
      </c>
      <c r="I101" s="323">
        <f t="shared" si="17"/>
        <v>24259</v>
      </c>
      <c r="J101" s="323">
        <f t="shared" si="17"/>
        <v>2187</v>
      </c>
      <c r="K101" s="323">
        <f>SUM(K76,K80:K100)</f>
        <v>0</v>
      </c>
      <c r="L101" s="322">
        <f t="shared" si="17"/>
        <v>431424.2415</v>
      </c>
      <c r="M101" s="322">
        <f t="shared" si="17"/>
        <v>853710.58850000007</v>
      </c>
      <c r="N101" s="297"/>
      <c r="O101" s="277"/>
    </row>
    <row r="102" spans="1:15" s="278" customFormat="1" ht="19.5" customHeight="1" thickTop="1" x14ac:dyDescent="0.35">
      <c r="A102" s="482">
        <v>5</v>
      </c>
      <c r="B102" s="482"/>
      <c r="C102" s="482"/>
      <c r="D102" s="482"/>
      <c r="E102" s="482"/>
      <c r="F102" s="482"/>
      <c r="G102" s="482"/>
      <c r="H102" s="482"/>
      <c r="I102" s="482"/>
      <c r="J102" s="482"/>
      <c r="K102" s="482"/>
      <c r="L102" s="482"/>
      <c r="M102" s="482"/>
      <c r="N102" s="297"/>
      <c r="O102" s="277"/>
    </row>
    <row r="103" spans="1:15" s="278" customFormat="1" ht="23.25" customHeight="1" x14ac:dyDescent="0.35">
      <c r="A103" s="483" t="s">
        <v>1</v>
      </c>
      <c r="B103" s="485" t="s">
        <v>2</v>
      </c>
      <c r="C103" s="483" t="s">
        <v>9</v>
      </c>
      <c r="D103" s="483" t="s">
        <v>10</v>
      </c>
      <c r="E103" s="488" t="s">
        <v>11</v>
      </c>
      <c r="F103" s="248" t="s">
        <v>562</v>
      </c>
      <c r="G103" s="490" t="s">
        <v>14</v>
      </c>
      <c r="H103" s="491"/>
      <c r="I103" s="491"/>
      <c r="J103" s="491"/>
      <c r="K103" s="492"/>
      <c r="L103" s="249" t="s">
        <v>6</v>
      </c>
      <c r="M103" s="249" t="s">
        <v>3</v>
      </c>
      <c r="N103" s="297"/>
      <c r="O103" s="277"/>
    </row>
    <row r="104" spans="1:15" s="278" customFormat="1" ht="23.25" customHeight="1" x14ac:dyDescent="0.35">
      <c r="A104" s="484"/>
      <c r="B104" s="486"/>
      <c r="C104" s="487"/>
      <c r="D104" s="487"/>
      <c r="E104" s="489"/>
      <c r="F104" s="250" t="s">
        <v>12</v>
      </c>
      <c r="G104" s="251" t="s">
        <v>12</v>
      </c>
      <c r="H104" s="252" t="s">
        <v>244</v>
      </c>
      <c r="I104" s="253" t="s">
        <v>7</v>
      </c>
      <c r="J104" s="253" t="s">
        <v>8</v>
      </c>
      <c r="K104" s="253" t="s">
        <v>12</v>
      </c>
      <c r="L104" s="254" t="s">
        <v>13</v>
      </c>
      <c r="M104" s="255" t="s">
        <v>184</v>
      </c>
      <c r="N104" s="297"/>
      <c r="O104" s="277"/>
    </row>
    <row r="105" spans="1:15" s="278" customFormat="1" ht="23.25" customHeight="1" x14ac:dyDescent="0.3">
      <c r="A105" s="256">
        <v>80</v>
      </c>
      <c r="B105" s="257" t="s">
        <v>541</v>
      </c>
      <c r="C105" s="258" t="s">
        <v>92</v>
      </c>
      <c r="D105" s="271" t="s">
        <v>542</v>
      </c>
      <c r="E105" s="259">
        <v>15000</v>
      </c>
      <c r="F105" s="338"/>
      <c r="G105" s="261">
        <f>SUM(E105*5%)</f>
        <v>750</v>
      </c>
      <c r="H105" s="292"/>
      <c r="I105" s="263"/>
      <c r="J105" s="274"/>
      <c r="K105" s="275"/>
      <c r="L105" s="266">
        <f>SUM(G105:K105)</f>
        <v>750</v>
      </c>
      <c r="M105" s="267">
        <f t="shared" ref="M105:M125" si="18">SUM(E105+F105-L105)</f>
        <v>14250</v>
      </c>
      <c r="N105" s="276" t="s">
        <v>543</v>
      </c>
      <c r="O105" s="277"/>
    </row>
    <row r="106" spans="1:15" s="278" customFormat="1" ht="23.25" customHeight="1" x14ac:dyDescent="0.3">
      <c r="A106" s="256">
        <v>81</v>
      </c>
      <c r="B106" s="257" t="s">
        <v>68</v>
      </c>
      <c r="C106" s="258" t="s">
        <v>66</v>
      </c>
      <c r="D106" s="271" t="s">
        <v>69</v>
      </c>
      <c r="E106" s="259">
        <v>17280</v>
      </c>
      <c r="F106" s="294"/>
      <c r="G106" s="337">
        <f>SUM(15000*5%)</f>
        <v>750</v>
      </c>
      <c r="H106" s="273">
        <v>500</v>
      </c>
      <c r="I106" s="263">
        <f>I$5</f>
        <v>486</v>
      </c>
      <c r="J106" s="274"/>
      <c r="K106" s="275"/>
      <c r="L106" s="266">
        <f>SUM(G106:K106)</f>
        <v>1736</v>
      </c>
      <c r="M106" s="267">
        <f t="shared" si="18"/>
        <v>15544</v>
      </c>
      <c r="N106" s="276"/>
      <c r="O106" s="277"/>
    </row>
    <row r="107" spans="1:15" ht="23.25" customHeight="1" x14ac:dyDescent="0.35">
      <c r="A107" s="256">
        <v>82</v>
      </c>
      <c r="B107" s="257" t="s">
        <v>380</v>
      </c>
      <c r="C107" s="258" t="s">
        <v>66</v>
      </c>
      <c r="D107" s="271" t="s">
        <v>406</v>
      </c>
      <c r="E107" s="352">
        <v>15000</v>
      </c>
      <c r="F107" s="260"/>
      <c r="G107" s="337">
        <f t="shared" ref="G107:G125" si="19">SUM(15000*5%)</f>
        <v>750</v>
      </c>
      <c r="H107" s="273">
        <v>1000</v>
      </c>
      <c r="I107" s="263"/>
      <c r="J107" s="264"/>
      <c r="K107" s="265"/>
      <c r="L107" s="266">
        <f t="shared" ref="L107:L125" si="20">SUM(G107:K107)</f>
        <v>1750</v>
      </c>
      <c r="M107" s="267">
        <f t="shared" si="18"/>
        <v>13250</v>
      </c>
      <c r="N107" s="353"/>
      <c r="O107" s="269"/>
    </row>
    <row r="108" spans="1:15" s="278" customFormat="1" ht="23.25" customHeight="1" x14ac:dyDescent="0.3">
      <c r="A108" s="256">
        <v>83</v>
      </c>
      <c r="B108" s="257" t="s">
        <v>383</v>
      </c>
      <c r="C108" s="258" t="s">
        <v>66</v>
      </c>
      <c r="D108" s="271" t="s">
        <v>407</v>
      </c>
      <c r="E108" s="335">
        <f>15000*6/31</f>
        <v>2903.2258064516127</v>
      </c>
      <c r="F108" s="294"/>
      <c r="G108" s="394">
        <f>SUM(2903.23*5%)-0.16</f>
        <v>145.00150000000002</v>
      </c>
      <c r="H108" s="273"/>
      <c r="I108" s="296"/>
      <c r="J108" s="274"/>
      <c r="K108" s="275"/>
      <c r="L108" s="266">
        <f t="shared" si="20"/>
        <v>145.00150000000002</v>
      </c>
      <c r="M108" s="267">
        <f t="shared" si="18"/>
        <v>2758.2243064516128</v>
      </c>
      <c r="N108" s="353"/>
      <c r="O108" s="277"/>
    </row>
    <row r="109" spans="1:15" s="278" customFormat="1" ht="23.25" customHeight="1" x14ac:dyDescent="0.3">
      <c r="A109" s="256">
        <v>84</v>
      </c>
      <c r="B109" s="257" t="s">
        <v>63</v>
      </c>
      <c r="C109" s="258" t="s">
        <v>64</v>
      </c>
      <c r="D109" s="395" t="s">
        <v>65</v>
      </c>
      <c r="E109" s="259">
        <v>17280</v>
      </c>
      <c r="F109" s="294"/>
      <c r="G109" s="337">
        <f t="shared" si="19"/>
        <v>750</v>
      </c>
      <c r="H109" s="286">
        <f>5237.25+10000</f>
        <v>15237.25</v>
      </c>
      <c r="I109" s="263">
        <f>I$5</f>
        <v>486</v>
      </c>
      <c r="J109" s="287">
        <f>J$5</f>
        <v>243</v>
      </c>
      <c r="K109" s="288"/>
      <c r="L109" s="266">
        <f t="shared" si="20"/>
        <v>16716.25</v>
      </c>
      <c r="M109" s="267">
        <f t="shared" si="18"/>
        <v>563.75</v>
      </c>
      <c r="N109" s="353"/>
      <c r="O109" s="277"/>
    </row>
    <row r="110" spans="1:15" s="278" customFormat="1" ht="23.25" customHeight="1" x14ac:dyDescent="0.3">
      <c r="A110" s="256">
        <v>85</v>
      </c>
      <c r="B110" s="257" t="s">
        <v>463</v>
      </c>
      <c r="C110" s="258" t="s">
        <v>64</v>
      </c>
      <c r="D110" s="271" t="s">
        <v>464</v>
      </c>
      <c r="E110" s="310">
        <v>15000</v>
      </c>
      <c r="F110" s="294"/>
      <c r="G110" s="337">
        <f t="shared" si="19"/>
        <v>750</v>
      </c>
      <c r="H110" s="273">
        <v>600</v>
      </c>
      <c r="I110" s="263"/>
      <c r="J110" s="274"/>
      <c r="K110" s="275"/>
      <c r="L110" s="266">
        <f t="shared" si="20"/>
        <v>1350</v>
      </c>
      <c r="M110" s="267">
        <f t="shared" si="18"/>
        <v>13650</v>
      </c>
      <c r="N110" s="276"/>
      <c r="O110" s="277"/>
    </row>
    <row r="111" spans="1:15" s="278" customFormat="1" ht="23.25" customHeight="1" x14ac:dyDescent="0.3">
      <c r="A111" s="256">
        <v>86</v>
      </c>
      <c r="B111" s="257" t="s">
        <v>391</v>
      </c>
      <c r="C111" s="258" t="s">
        <v>83</v>
      </c>
      <c r="D111" s="271" t="s">
        <v>397</v>
      </c>
      <c r="E111" s="259">
        <v>15000</v>
      </c>
      <c r="F111" s="294"/>
      <c r="G111" s="337">
        <f t="shared" si="19"/>
        <v>750</v>
      </c>
      <c r="H111" s="292">
        <f>0+3800</f>
        <v>3800</v>
      </c>
      <c r="I111" s="263">
        <f>I$5</f>
        <v>486</v>
      </c>
      <c r="J111" s="274"/>
      <c r="K111" s="275"/>
      <c r="L111" s="266">
        <f t="shared" si="20"/>
        <v>5036</v>
      </c>
      <c r="M111" s="267">
        <f t="shared" si="18"/>
        <v>9964</v>
      </c>
      <c r="N111" s="353"/>
      <c r="O111" s="277"/>
    </row>
    <row r="112" spans="1:15" s="278" customFormat="1" ht="23.25" customHeight="1" x14ac:dyDescent="0.3">
      <c r="A112" s="256">
        <v>87</v>
      </c>
      <c r="B112" s="298" t="s">
        <v>326</v>
      </c>
      <c r="C112" s="299" t="s">
        <v>83</v>
      </c>
      <c r="D112" s="300" t="s">
        <v>335</v>
      </c>
      <c r="E112" s="310">
        <v>15060</v>
      </c>
      <c r="F112" s="272"/>
      <c r="G112" s="337">
        <f t="shared" si="19"/>
        <v>750</v>
      </c>
      <c r="H112" s="293">
        <f>4619.5+7500</f>
        <v>12119.5</v>
      </c>
      <c r="I112" s="263">
        <f>I$5</f>
        <v>486</v>
      </c>
      <c r="J112" s="274"/>
      <c r="K112" s="284"/>
      <c r="L112" s="266">
        <f t="shared" si="20"/>
        <v>13355.5</v>
      </c>
      <c r="M112" s="285">
        <f t="shared" si="18"/>
        <v>1704.5</v>
      </c>
      <c r="N112" s="276" t="s">
        <v>473</v>
      </c>
      <c r="O112" s="277"/>
    </row>
    <row r="113" spans="1:15" s="278" customFormat="1" ht="23.25" customHeight="1" x14ac:dyDescent="0.3">
      <c r="A113" s="256">
        <v>88</v>
      </c>
      <c r="B113" s="279" t="s">
        <v>133</v>
      </c>
      <c r="C113" s="280" t="s">
        <v>355</v>
      </c>
      <c r="D113" s="281" t="s">
        <v>134</v>
      </c>
      <c r="E113" s="310">
        <v>17730</v>
      </c>
      <c r="F113" s="294"/>
      <c r="G113" s="337">
        <f t="shared" si="19"/>
        <v>750</v>
      </c>
      <c r="H113" s="396">
        <f>800+7500</f>
        <v>8300</v>
      </c>
      <c r="I113" s="263">
        <f>I$5</f>
        <v>486</v>
      </c>
      <c r="J113" s="287">
        <f>J$5</f>
        <v>243</v>
      </c>
      <c r="K113" s="288"/>
      <c r="L113" s="266">
        <f t="shared" si="20"/>
        <v>9779</v>
      </c>
      <c r="M113" s="267">
        <f t="shared" si="18"/>
        <v>7951</v>
      </c>
      <c r="N113" s="297"/>
      <c r="O113" s="277"/>
    </row>
    <row r="114" spans="1:15" ht="23.25" customHeight="1" x14ac:dyDescent="0.35">
      <c r="A114" s="256">
        <v>89</v>
      </c>
      <c r="B114" s="257" t="s">
        <v>348</v>
      </c>
      <c r="C114" s="258" t="s">
        <v>355</v>
      </c>
      <c r="D114" s="271" t="s">
        <v>350</v>
      </c>
      <c r="E114" s="352">
        <v>15000</v>
      </c>
      <c r="F114" s="272"/>
      <c r="G114" s="337">
        <f t="shared" si="19"/>
        <v>750</v>
      </c>
      <c r="H114" s="292">
        <f>500+3800</f>
        <v>4300</v>
      </c>
      <c r="I114" s="263">
        <f>I$5</f>
        <v>486</v>
      </c>
      <c r="J114" s="264"/>
      <c r="K114" s="265"/>
      <c r="L114" s="266">
        <f t="shared" si="20"/>
        <v>5536</v>
      </c>
      <c r="M114" s="267">
        <f t="shared" si="18"/>
        <v>9464</v>
      </c>
      <c r="N114" s="268"/>
      <c r="O114" s="269"/>
    </row>
    <row r="115" spans="1:15" s="278" customFormat="1" ht="23.25" customHeight="1" x14ac:dyDescent="0.3">
      <c r="A115" s="256">
        <v>90</v>
      </c>
      <c r="B115" s="279" t="s">
        <v>418</v>
      </c>
      <c r="C115" s="280" t="s">
        <v>88</v>
      </c>
      <c r="D115" s="281" t="s">
        <v>421</v>
      </c>
      <c r="E115" s="310">
        <v>15000</v>
      </c>
      <c r="F115" s="294"/>
      <c r="G115" s="337">
        <f t="shared" si="19"/>
        <v>750</v>
      </c>
      <c r="H115" s="350"/>
      <c r="I115" s="263"/>
      <c r="J115" s="287"/>
      <c r="K115" s="288"/>
      <c r="L115" s="266">
        <f t="shared" si="20"/>
        <v>750</v>
      </c>
      <c r="M115" s="267">
        <f t="shared" si="18"/>
        <v>14250</v>
      </c>
      <c r="N115" s="383"/>
      <c r="O115" s="277"/>
    </row>
    <row r="116" spans="1:15" ht="23.25" customHeight="1" x14ac:dyDescent="0.35">
      <c r="A116" s="256">
        <v>91</v>
      </c>
      <c r="B116" s="279" t="s">
        <v>384</v>
      </c>
      <c r="C116" s="280" t="s">
        <v>88</v>
      </c>
      <c r="D116" s="281" t="s">
        <v>400</v>
      </c>
      <c r="E116" s="310">
        <v>15000</v>
      </c>
      <c r="F116" s="260"/>
      <c r="G116" s="337">
        <f t="shared" si="19"/>
        <v>750</v>
      </c>
      <c r="H116" s="350"/>
      <c r="I116" s="263">
        <f t="shared" ref="I116:I125" si="21">I$5</f>
        <v>486</v>
      </c>
      <c r="J116" s="305"/>
      <c r="K116" s="306"/>
      <c r="L116" s="266">
        <f t="shared" si="20"/>
        <v>1236</v>
      </c>
      <c r="M116" s="267">
        <f t="shared" si="18"/>
        <v>13764</v>
      </c>
      <c r="N116" s="374"/>
      <c r="O116" s="269"/>
    </row>
    <row r="117" spans="1:15" ht="23.25" customHeight="1" x14ac:dyDescent="0.35">
      <c r="A117" s="256">
        <v>92</v>
      </c>
      <c r="B117" s="279" t="s">
        <v>437</v>
      </c>
      <c r="C117" s="280" t="s">
        <v>88</v>
      </c>
      <c r="D117" s="281" t="s">
        <v>449</v>
      </c>
      <c r="E117" s="310">
        <v>15000</v>
      </c>
      <c r="F117" s="341"/>
      <c r="G117" s="337">
        <f>SUM(15000*5%)</f>
        <v>750</v>
      </c>
      <c r="H117" s="451"/>
      <c r="I117" s="263">
        <f t="shared" si="21"/>
        <v>486</v>
      </c>
      <c r="J117" s="264"/>
      <c r="K117" s="265"/>
      <c r="L117" s="266">
        <f t="shared" si="20"/>
        <v>1236</v>
      </c>
      <c r="M117" s="267">
        <f t="shared" si="18"/>
        <v>13764</v>
      </c>
      <c r="N117" s="327"/>
      <c r="O117" s="269"/>
    </row>
    <row r="118" spans="1:15" s="278" customFormat="1" ht="23.25" customHeight="1" x14ac:dyDescent="0.3">
      <c r="A118" s="256">
        <v>93</v>
      </c>
      <c r="B118" s="257" t="s">
        <v>320</v>
      </c>
      <c r="C118" s="258" t="s">
        <v>88</v>
      </c>
      <c r="D118" s="271" t="s">
        <v>331</v>
      </c>
      <c r="E118" s="310">
        <v>15000</v>
      </c>
      <c r="F118" s="272"/>
      <c r="G118" s="337">
        <f t="shared" si="19"/>
        <v>750</v>
      </c>
      <c r="H118" s="292">
        <f>0+6200</f>
        <v>6200</v>
      </c>
      <c r="I118" s="263">
        <f t="shared" si="21"/>
        <v>486</v>
      </c>
      <c r="J118" s="274"/>
      <c r="K118" s="275"/>
      <c r="L118" s="266">
        <f t="shared" si="20"/>
        <v>7436</v>
      </c>
      <c r="M118" s="267">
        <f t="shared" si="18"/>
        <v>7564</v>
      </c>
      <c r="N118" s="276"/>
      <c r="O118" s="277"/>
    </row>
    <row r="119" spans="1:15" ht="23.25" customHeight="1" x14ac:dyDescent="0.35">
      <c r="A119" s="256">
        <v>94</v>
      </c>
      <c r="B119" s="257" t="s">
        <v>167</v>
      </c>
      <c r="C119" s="258" t="s">
        <v>433</v>
      </c>
      <c r="D119" s="271" t="s">
        <v>169</v>
      </c>
      <c r="E119" s="259">
        <v>17130</v>
      </c>
      <c r="F119" s="260"/>
      <c r="G119" s="337">
        <f t="shared" si="19"/>
        <v>750</v>
      </c>
      <c r="H119" s="273">
        <v>6492.5</v>
      </c>
      <c r="I119" s="263">
        <f t="shared" si="21"/>
        <v>486</v>
      </c>
      <c r="J119" s="287">
        <f>J$5</f>
        <v>243</v>
      </c>
      <c r="K119" s="288"/>
      <c r="L119" s="266">
        <f t="shared" si="20"/>
        <v>7971.5</v>
      </c>
      <c r="M119" s="267">
        <f t="shared" si="18"/>
        <v>9158.5</v>
      </c>
      <c r="N119" s="268"/>
      <c r="O119" s="269"/>
    </row>
    <row r="120" spans="1:15" s="278" customFormat="1" ht="23.25" customHeight="1" x14ac:dyDescent="0.3">
      <c r="A120" s="256">
        <v>95</v>
      </c>
      <c r="B120" s="257" t="s">
        <v>530</v>
      </c>
      <c r="C120" s="258" t="s">
        <v>147</v>
      </c>
      <c r="D120" s="271" t="s">
        <v>148</v>
      </c>
      <c r="E120" s="259">
        <v>17430</v>
      </c>
      <c r="F120" s="272"/>
      <c r="G120" s="337">
        <f t="shared" si="19"/>
        <v>750</v>
      </c>
      <c r="H120" s="292">
        <f>2482+3800</f>
        <v>6282</v>
      </c>
      <c r="I120" s="263">
        <f t="shared" si="21"/>
        <v>486</v>
      </c>
      <c r="J120" s="274"/>
      <c r="K120" s="275"/>
      <c r="L120" s="266">
        <f t="shared" si="20"/>
        <v>7518</v>
      </c>
      <c r="M120" s="267">
        <f t="shared" si="18"/>
        <v>9912</v>
      </c>
      <c r="N120" s="276"/>
      <c r="O120" s="277"/>
    </row>
    <row r="121" spans="1:15" s="278" customFormat="1" ht="23.25" customHeight="1" x14ac:dyDescent="0.3">
      <c r="A121" s="256">
        <v>96</v>
      </c>
      <c r="B121" s="257" t="s">
        <v>324</v>
      </c>
      <c r="C121" s="388" t="s">
        <v>90</v>
      </c>
      <c r="D121" s="271" t="s">
        <v>325</v>
      </c>
      <c r="E121" s="259">
        <v>15000</v>
      </c>
      <c r="F121" s="294"/>
      <c r="G121" s="337">
        <f t="shared" si="19"/>
        <v>750</v>
      </c>
      <c r="H121" s="273">
        <v>3824.5</v>
      </c>
      <c r="I121" s="263">
        <f t="shared" si="21"/>
        <v>486</v>
      </c>
      <c r="J121" s="274"/>
      <c r="K121" s="275"/>
      <c r="L121" s="266">
        <f t="shared" si="20"/>
        <v>5060.5</v>
      </c>
      <c r="M121" s="267">
        <f t="shared" si="18"/>
        <v>9939.5</v>
      </c>
      <c r="N121" s="276"/>
      <c r="O121" s="277"/>
    </row>
    <row r="122" spans="1:15" ht="23.25" customHeight="1" x14ac:dyDescent="0.35">
      <c r="A122" s="256">
        <v>97</v>
      </c>
      <c r="B122" s="257" t="s">
        <v>238</v>
      </c>
      <c r="C122" s="258" t="s">
        <v>62</v>
      </c>
      <c r="D122" s="271" t="s">
        <v>123</v>
      </c>
      <c r="E122" s="352">
        <v>17320</v>
      </c>
      <c r="F122" s="341"/>
      <c r="G122" s="337">
        <f t="shared" si="19"/>
        <v>750</v>
      </c>
      <c r="H122" s="293">
        <f>4353.5+7500</f>
        <v>11853.5</v>
      </c>
      <c r="I122" s="263">
        <f t="shared" si="21"/>
        <v>486</v>
      </c>
      <c r="J122" s="264"/>
      <c r="K122" s="265"/>
      <c r="L122" s="266">
        <f t="shared" si="20"/>
        <v>13089.5</v>
      </c>
      <c r="M122" s="267">
        <f t="shared" si="18"/>
        <v>4230.5</v>
      </c>
      <c r="N122" s="268"/>
      <c r="O122" s="269"/>
    </row>
    <row r="123" spans="1:15" s="381" customFormat="1" ht="23.25" customHeight="1" x14ac:dyDescent="0.3">
      <c r="A123" s="256">
        <v>98</v>
      </c>
      <c r="B123" s="257" t="s">
        <v>343</v>
      </c>
      <c r="C123" s="258" t="s">
        <v>62</v>
      </c>
      <c r="D123" s="271" t="s">
        <v>344</v>
      </c>
      <c r="E123" s="259">
        <v>15000</v>
      </c>
      <c r="F123" s="294"/>
      <c r="G123" s="337">
        <f t="shared" si="19"/>
        <v>750</v>
      </c>
      <c r="H123" s="273">
        <v>6097.5</v>
      </c>
      <c r="I123" s="263">
        <f t="shared" si="21"/>
        <v>486</v>
      </c>
      <c r="J123" s="274"/>
      <c r="K123" s="275"/>
      <c r="L123" s="266">
        <f t="shared" si="20"/>
        <v>7333.5</v>
      </c>
      <c r="M123" s="267">
        <f t="shared" si="18"/>
        <v>7666.5</v>
      </c>
      <c r="N123" s="397"/>
      <c r="O123" s="380"/>
    </row>
    <row r="124" spans="1:15" s="278" customFormat="1" ht="23.25" customHeight="1" x14ac:dyDescent="0.3">
      <c r="A124" s="256">
        <v>99</v>
      </c>
      <c r="B124" s="257" t="s">
        <v>247</v>
      </c>
      <c r="C124" s="388" t="s">
        <v>190</v>
      </c>
      <c r="D124" s="271" t="s">
        <v>248</v>
      </c>
      <c r="E124" s="259">
        <v>15670</v>
      </c>
      <c r="F124" s="294"/>
      <c r="G124" s="337">
        <f t="shared" si="19"/>
        <v>750</v>
      </c>
      <c r="H124" s="286">
        <f>5421.25+7500</f>
        <v>12921.25</v>
      </c>
      <c r="I124" s="263">
        <f t="shared" si="21"/>
        <v>486</v>
      </c>
      <c r="J124" s="274"/>
      <c r="K124" s="275"/>
      <c r="L124" s="266">
        <f t="shared" si="20"/>
        <v>14157.25</v>
      </c>
      <c r="M124" s="267">
        <f t="shared" si="18"/>
        <v>1512.75</v>
      </c>
      <c r="N124" s="353"/>
      <c r="O124" s="277"/>
    </row>
    <row r="125" spans="1:15" s="278" customFormat="1" ht="23.25" customHeight="1" x14ac:dyDescent="0.3">
      <c r="A125" s="256">
        <v>100</v>
      </c>
      <c r="B125" s="257" t="s">
        <v>255</v>
      </c>
      <c r="C125" s="258" t="s">
        <v>190</v>
      </c>
      <c r="D125" s="271" t="s">
        <v>196</v>
      </c>
      <c r="E125" s="310">
        <v>16860</v>
      </c>
      <c r="F125" s="272"/>
      <c r="G125" s="337">
        <f t="shared" si="19"/>
        <v>750</v>
      </c>
      <c r="H125" s="293">
        <f>5778.25+7500</f>
        <v>13278.25</v>
      </c>
      <c r="I125" s="263">
        <f t="shared" si="21"/>
        <v>486</v>
      </c>
      <c r="J125" s="274"/>
      <c r="K125" s="275"/>
      <c r="L125" s="266">
        <f t="shared" si="20"/>
        <v>14514.25</v>
      </c>
      <c r="M125" s="267">
        <f t="shared" si="18"/>
        <v>2345.75</v>
      </c>
      <c r="N125" s="276"/>
      <c r="O125" s="277"/>
    </row>
    <row r="126" spans="1:15" ht="23.25" customHeight="1" thickBot="1" x14ac:dyDescent="0.4">
      <c r="A126" s="319"/>
      <c r="B126" s="319" t="s">
        <v>4</v>
      </c>
      <c r="C126" s="362"/>
      <c r="D126" s="385"/>
      <c r="E126" s="422">
        <f>SUM(E101,E105:E125)</f>
        <v>1604798.0558064517</v>
      </c>
      <c r="F126" s="422">
        <f t="shared" ref="F126:M126" si="22">SUM(F101,F105:F125)</f>
        <v>0</v>
      </c>
      <c r="G126" s="323">
        <f t="shared" si="22"/>
        <v>74613.002999999997</v>
      </c>
      <c r="H126" s="422">
        <f t="shared" si="22"/>
        <v>458316.5</v>
      </c>
      <c r="I126" s="323">
        <f t="shared" si="22"/>
        <v>32035</v>
      </c>
      <c r="J126" s="323">
        <f t="shared" si="22"/>
        <v>2916</v>
      </c>
      <c r="K126" s="323">
        <f>SUM(K101,K105:K125)</f>
        <v>0</v>
      </c>
      <c r="L126" s="322">
        <f t="shared" si="22"/>
        <v>567880.49300000002</v>
      </c>
      <c r="M126" s="322">
        <f t="shared" si="22"/>
        <v>1036917.5628064517</v>
      </c>
      <c r="N126" s="364"/>
      <c r="O126" s="269"/>
    </row>
    <row r="127" spans="1:15" s="327" customFormat="1" ht="20.25" customHeight="1" thickTop="1" x14ac:dyDescent="0.35">
      <c r="A127" s="482">
        <v>6</v>
      </c>
      <c r="B127" s="482"/>
      <c r="C127" s="482"/>
      <c r="D127" s="482"/>
      <c r="E127" s="482"/>
      <c r="F127" s="482"/>
      <c r="G127" s="482"/>
      <c r="H127" s="482"/>
      <c r="I127" s="482"/>
      <c r="J127" s="482"/>
      <c r="K127" s="482"/>
      <c r="L127" s="482"/>
      <c r="M127" s="482"/>
      <c r="N127" s="325"/>
      <c r="O127" s="326"/>
    </row>
    <row r="128" spans="1:15" ht="23.25" customHeight="1" x14ac:dyDescent="0.35">
      <c r="A128" s="483" t="s">
        <v>1</v>
      </c>
      <c r="B128" s="485" t="s">
        <v>2</v>
      </c>
      <c r="C128" s="483" t="s">
        <v>9</v>
      </c>
      <c r="D128" s="483" t="s">
        <v>10</v>
      </c>
      <c r="E128" s="488" t="s">
        <v>11</v>
      </c>
      <c r="F128" s="248" t="s">
        <v>562</v>
      </c>
      <c r="G128" s="490" t="s">
        <v>14</v>
      </c>
      <c r="H128" s="491"/>
      <c r="I128" s="491"/>
      <c r="J128" s="491"/>
      <c r="K128" s="492"/>
      <c r="L128" s="249" t="s">
        <v>6</v>
      </c>
      <c r="M128" s="249" t="s">
        <v>3</v>
      </c>
    </row>
    <row r="129" spans="1:15" ht="23.25" customHeight="1" x14ac:dyDescent="0.35">
      <c r="A129" s="484"/>
      <c r="B129" s="486"/>
      <c r="C129" s="487"/>
      <c r="D129" s="487"/>
      <c r="E129" s="489"/>
      <c r="F129" s="250" t="s">
        <v>12</v>
      </c>
      <c r="G129" s="251" t="s">
        <v>12</v>
      </c>
      <c r="H129" s="252" t="s">
        <v>244</v>
      </c>
      <c r="I129" s="253" t="s">
        <v>7</v>
      </c>
      <c r="J129" s="253" t="s">
        <v>8</v>
      </c>
      <c r="K129" s="253" t="s">
        <v>12</v>
      </c>
      <c r="L129" s="254" t="s">
        <v>13</v>
      </c>
      <c r="M129" s="255" t="s">
        <v>184</v>
      </c>
    </row>
    <row r="130" spans="1:15" s="278" customFormat="1" ht="23.25" customHeight="1" x14ac:dyDescent="0.3">
      <c r="A130" s="256">
        <v>101</v>
      </c>
      <c r="B130" s="279" t="s">
        <v>76</v>
      </c>
      <c r="C130" s="280" t="s">
        <v>77</v>
      </c>
      <c r="D130" s="281" t="s">
        <v>236</v>
      </c>
      <c r="E130" s="310">
        <v>16960</v>
      </c>
      <c r="F130" s="294"/>
      <c r="G130" s="328">
        <f>SUM(15000*5%)</f>
        <v>750</v>
      </c>
      <c r="H130" s="376">
        <f>5073.5+7500</f>
        <v>12573.5</v>
      </c>
      <c r="I130" s="263">
        <f>I$5</f>
        <v>486</v>
      </c>
      <c r="J130" s="287">
        <f>J$5</f>
        <v>243</v>
      </c>
      <c r="K130" s="367"/>
      <c r="L130" s="266">
        <f>SUM(G130:K130)</f>
        <v>14052.5</v>
      </c>
      <c r="M130" s="267">
        <f t="shared" ref="M130:M150" si="23">SUM(E130+F130-L130)</f>
        <v>2907.5</v>
      </c>
      <c r="N130" s="297"/>
      <c r="O130" s="277"/>
    </row>
    <row r="131" spans="1:15" ht="23.25" customHeight="1" x14ac:dyDescent="0.35">
      <c r="A131" s="256">
        <v>102</v>
      </c>
      <c r="B131" s="279" t="s">
        <v>420</v>
      </c>
      <c r="C131" s="280" t="s">
        <v>74</v>
      </c>
      <c r="D131" s="281" t="s">
        <v>423</v>
      </c>
      <c r="E131" s="352">
        <v>15000</v>
      </c>
      <c r="F131" s="260"/>
      <c r="G131" s="261">
        <f>SUM(15000*5%)</f>
        <v>750</v>
      </c>
      <c r="H131" s="314"/>
      <c r="I131" s="389"/>
      <c r="J131" s="290"/>
      <c r="K131" s="398"/>
      <c r="L131" s="266">
        <f>SUM(G131:K131)</f>
        <v>750</v>
      </c>
      <c r="M131" s="267">
        <f t="shared" si="23"/>
        <v>14250</v>
      </c>
      <c r="N131" s="268"/>
      <c r="O131" s="269"/>
    </row>
    <row r="132" spans="1:15" s="278" customFormat="1" ht="23.25" customHeight="1" x14ac:dyDescent="0.3">
      <c r="A132" s="256">
        <v>103</v>
      </c>
      <c r="B132" s="279" t="s">
        <v>73</v>
      </c>
      <c r="C132" s="280" t="s">
        <v>74</v>
      </c>
      <c r="D132" s="281" t="s">
        <v>75</v>
      </c>
      <c r="E132" s="259">
        <v>16950</v>
      </c>
      <c r="F132" s="294"/>
      <c r="G132" s="261">
        <f t="shared" ref="G132:G150" si="24">SUM(15000*5%)</f>
        <v>750</v>
      </c>
      <c r="H132" s="399">
        <f>1622.25+6200</f>
        <v>7822.25</v>
      </c>
      <c r="I132" s="263">
        <f>I$5</f>
        <v>486</v>
      </c>
      <c r="J132" s="287"/>
      <c r="K132" s="275"/>
      <c r="L132" s="266">
        <f t="shared" ref="L132:L150" si="25">SUM(G132:K132)</f>
        <v>9058.25</v>
      </c>
      <c r="M132" s="267">
        <f t="shared" si="23"/>
        <v>7891.75</v>
      </c>
      <c r="N132" s="297"/>
      <c r="O132" s="277"/>
    </row>
    <row r="133" spans="1:15" ht="23.25" customHeight="1" x14ac:dyDescent="0.35">
      <c r="A133" s="256">
        <v>104</v>
      </c>
      <c r="B133" s="279" t="s">
        <v>392</v>
      </c>
      <c r="C133" s="347" t="s">
        <v>70</v>
      </c>
      <c r="D133" s="281" t="s">
        <v>398</v>
      </c>
      <c r="E133" s="310">
        <v>15000</v>
      </c>
      <c r="F133" s="260"/>
      <c r="G133" s="261">
        <f t="shared" si="24"/>
        <v>750</v>
      </c>
      <c r="H133" s="400">
        <v>3345.75</v>
      </c>
      <c r="I133" s="401"/>
      <c r="J133" s="305"/>
      <c r="K133" s="265"/>
      <c r="L133" s="266">
        <f t="shared" si="25"/>
        <v>4095.75</v>
      </c>
      <c r="M133" s="267">
        <f t="shared" si="23"/>
        <v>10904.25</v>
      </c>
      <c r="N133" s="327"/>
      <c r="O133" s="269"/>
    </row>
    <row r="134" spans="1:15" s="278" customFormat="1" ht="23.25" customHeight="1" x14ac:dyDescent="0.3">
      <c r="A134" s="256">
        <v>105</v>
      </c>
      <c r="B134" s="279" t="s">
        <v>71</v>
      </c>
      <c r="C134" s="280" t="s">
        <v>70</v>
      </c>
      <c r="D134" s="281" t="s">
        <v>72</v>
      </c>
      <c r="E134" s="259">
        <v>16950</v>
      </c>
      <c r="F134" s="294"/>
      <c r="G134" s="261">
        <f t="shared" si="24"/>
        <v>750</v>
      </c>
      <c r="H134" s="396">
        <f>600+7500</f>
        <v>8100</v>
      </c>
      <c r="I134" s="263">
        <f>I$5</f>
        <v>486</v>
      </c>
      <c r="J134" s="287"/>
      <c r="K134" s="275"/>
      <c r="L134" s="266">
        <f t="shared" si="25"/>
        <v>9336</v>
      </c>
      <c r="M134" s="267">
        <f t="shared" si="23"/>
        <v>7614</v>
      </c>
      <c r="N134" s="297"/>
      <c r="O134" s="277"/>
    </row>
    <row r="135" spans="1:15" ht="23.25" customHeight="1" x14ac:dyDescent="0.35">
      <c r="A135" s="256">
        <v>106</v>
      </c>
      <c r="B135" s="279" t="s">
        <v>393</v>
      </c>
      <c r="C135" s="347" t="s">
        <v>70</v>
      </c>
      <c r="D135" s="281" t="s">
        <v>399</v>
      </c>
      <c r="E135" s="310">
        <v>15000</v>
      </c>
      <c r="F135" s="260"/>
      <c r="G135" s="261">
        <f t="shared" si="24"/>
        <v>750</v>
      </c>
      <c r="H135" s="314">
        <v>500</v>
      </c>
      <c r="I135" s="401"/>
      <c r="J135" s="305"/>
      <c r="K135" s="265"/>
      <c r="L135" s="266">
        <f t="shared" si="25"/>
        <v>1250</v>
      </c>
      <c r="M135" s="267">
        <f t="shared" si="23"/>
        <v>13750</v>
      </c>
      <c r="N135" s="327"/>
      <c r="O135" s="269"/>
    </row>
    <row r="136" spans="1:15" s="278" customFormat="1" ht="23.25" customHeight="1" x14ac:dyDescent="0.3">
      <c r="A136" s="256">
        <v>107</v>
      </c>
      <c r="B136" s="257" t="s">
        <v>390</v>
      </c>
      <c r="C136" s="258" t="s">
        <v>60</v>
      </c>
      <c r="D136" s="271" t="s">
        <v>396</v>
      </c>
      <c r="E136" s="259">
        <v>15000</v>
      </c>
      <c r="F136" s="294"/>
      <c r="G136" s="261">
        <f t="shared" si="24"/>
        <v>750</v>
      </c>
      <c r="H136" s="292">
        <f>500+3800</f>
        <v>4300</v>
      </c>
      <c r="I136" s="263"/>
      <c r="J136" s="274"/>
      <c r="K136" s="275"/>
      <c r="L136" s="266">
        <f t="shared" si="25"/>
        <v>5050</v>
      </c>
      <c r="M136" s="267">
        <f t="shared" si="23"/>
        <v>9950</v>
      </c>
      <c r="N136" s="276"/>
      <c r="O136" s="277"/>
    </row>
    <row r="137" spans="1:15" s="278" customFormat="1" ht="23.25" customHeight="1" x14ac:dyDescent="0.3">
      <c r="A137" s="256">
        <v>108</v>
      </c>
      <c r="B137" s="279" t="s">
        <v>225</v>
      </c>
      <c r="C137" s="280" t="s">
        <v>222</v>
      </c>
      <c r="D137" s="281" t="s">
        <v>256</v>
      </c>
      <c r="E137" s="330">
        <v>17100</v>
      </c>
      <c r="F137" s="402"/>
      <c r="G137" s="261">
        <f t="shared" si="24"/>
        <v>750</v>
      </c>
      <c r="H137" s="378">
        <f>2800+6200</f>
        <v>9000</v>
      </c>
      <c r="I137" s="389">
        <f>I$5</f>
        <v>486</v>
      </c>
      <c r="J137" s="287">
        <f>J$5</f>
        <v>243</v>
      </c>
      <c r="K137" s="275"/>
      <c r="L137" s="266">
        <f t="shared" si="25"/>
        <v>10479</v>
      </c>
      <c r="M137" s="285">
        <f t="shared" si="23"/>
        <v>6621</v>
      </c>
      <c r="N137" s="297"/>
      <c r="O137" s="277"/>
    </row>
    <row r="138" spans="1:15" s="278" customFormat="1" ht="23.25" customHeight="1" x14ac:dyDescent="0.3">
      <c r="A138" s="256">
        <v>109</v>
      </c>
      <c r="B138" s="257" t="s">
        <v>221</v>
      </c>
      <c r="C138" s="258" t="s">
        <v>222</v>
      </c>
      <c r="D138" s="271" t="s">
        <v>258</v>
      </c>
      <c r="E138" s="330">
        <v>17240</v>
      </c>
      <c r="F138" s="294"/>
      <c r="G138" s="261">
        <f t="shared" si="24"/>
        <v>750</v>
      </c>
      <c r="H138" s="273">
        <v>500</v>
      </c>
      <c r="I138" s="403"/>
      <c r="J138" s="274"/>
      <c r="K138" s="275"/>
      <c r="L138" s="266">
        <f t="shared" si="25"/>
        <v>1250</v>
      </c>
      <c r="M138" s="285">
        <f t="shared" si="23"/>
        <v>15990</v>
      </c>
      <c r="N138" s="276"/>
      <c r="O138" s="277"/>
    </row>
    <row r="139" spans="1:15" s="278" customFormat="1" ht="23.25" customHeight="1" x14ac:dyDescent="0.3">
      <c r="A139" s="256">
        <v>110</v>
      </c>
      <c r="B139" s="279" t="s">
        <v>388</v>
      </c>
      <c r="C139" s="280" t="s">
        <v>222</v>
      </c>
      <c r="D139" s="281" t="s">
        <v>404</v>
      </c>
      <c r="E139" s="310">
        <v>15000</v>
      </c>
      <c r="F139" s="402"/>
      <c r="G139" s="261">
        <f t="shared" si="24"/>
        <v>750</v>
      </c>
      <c r="H139" s="350"/>
      <c r="I139" s="263"/>
      <c r="J139" s="287"/>
      <c r="K139" s="275"/>
      <c r="L139" s="266">
        <f t="shared" si="25"/>
        <v>750</v>
      </c>
      <c r="M139" s="285">
        <f t="shared" si="23"/>
        <v>14250</v>
      </c>
      <c r="N139" s="374"/>
      <c r="O139" s="277"/>
    </row>
    <row r="140" spans="1:15" s="278" customFormat="1" ht="23.25" customHeight="1" x14ac:dyDescent="0.3">
      <c r="A140" s="256">
        <v>111</v>
      </c>
      <c r="B140" s="279" t="s">
        <v>387</v>
      </c>
      <c r="C140" s="280" t="s">
        <v>222</v>
      </c>
      <c r="D140" s="281" t="s">
        <v>402</v>
      </c>
      <c r="E140" s="310">
        <v>15000</v>
      </c>
      <c r="F140" s="294"/>
      <c r="G140" s="261">
        <f t="shared" si="24"/>
        <v>750</v>
      </c>
      <c r="H140" s="350"/>
      <c r="I140" s="263"/>
      <c r="J140" s="404"/>
      <c r="K140" s="405"/>
      <c r="L140" s="266">
        <f t="shared" si="25"/>
        <v>750</v>
      </c>
      <c r="M140" s="285">
        <f t="shared" si="23"/>
        <v>14250</v>
      </c>
      <c r="N140" s="353"/>
      <c r="O140" s="277"/>
    </row>
    <row r="141" spans="1:15" s="317" customFormat="1" ht="23.25" customHeight="1" x14ac:dyDescent="0.3">
      <c r="A141" s="256">
        <v>112</v>
      </c>
      <c r="B141" s="279" t="s">
        <v>442</v>
      </c>
      <c r="C141" s="280" t="s">
        <v>443</v>
      </c>
      <c r="D141" s="281" t="s">
        <v>455</v>
      </c>
      <c r="E141" s="310">
        <v>15000</v>
      </c>
      <c r="F141" s="272"/>
      <c r="G141" s="261">
        <f t="shared" si="24"/>
        <v>750</v>
      </c>
      <c r="H141" s="273">
        <v>800</v>
      </c>
      <c r="I141" s="406"/>
      <c r="J141" s="275"/>
      <c r="K141" s="275"/>
      <c r="L141" s="266">
        <f t="shared" si="25"/>
        <v>1550</v>
      </c>
      <c r="M141" s="285">
        <f t="shared" si="23"/>
        <v>13450</v>
      </c>
      <c r="N141" s="315"/>
      <c r="O141" s="316"/>
    </row>
    <row r="142" spans="1:15" s="278" customFormat="1" ht="23.25" customHeight="1" x14ac:dyDescent="0.3">
      <c r="A142" s="256">
        <v>113</v>
      </c>
      <c r="B142" s="257" t="s">
        <v>381</v>
      </c>
      <c r="C142" s="258" t="s">
        <v>443</v>
      </c>
      <c r="D142" s="271" t="s">
        <v>405</v>
      </c>
      <c r="E142" s="310">
        <v>15000</v>
      </c>
      <c r="F142" s="294"/>
      <c r="G142" s="261">
        <f t="shared" si="24"/>
        <v>750</v>
      </c>
      <c r="H142" s="273"/>
      <c r="I142" s="263"/>
      <c r="J142" s="287"/>
      <c r="K142" s="275"/>
      <c r="L142" s="266">
        <f t="shared" si="25"/>
        <v>750</v>
      </c>
      <c r="M142" s="267">
        <f t="shared" si="23"/>
        <v>14250</v>
      </c>
      <c r="N142" s="353"/>
      <c r="O142" s="277"/>
    </row>
    <row r="143" spans="1:15" s="278" customFormat="1" ht="23.25" customHeight="1" x14ac:dyDescent="0.3">
      <c r="A143" s="256">
        <v>114</v>
      </c>
      <c r="B143" s="279" t="s">
        <v>286</v>
      </c>
      <c r="C143" s="347" t="s">
        <v>218</v>
      </c>
      <c r="D143" s="281" t="s">
        <v>287</v>
      </c>
      <c r="E143" s="259">
        <v>15290</v>
      </c>
      <c r="F143" s="294"/>
      <c r="G143" s="261">
        <f t="shared" si="24"/>
        <v>750</v>
      </c>
      <c r="H143" s="273"/>
      <c r="I143" s="382"/>
      <c r="J143" s="274"/>
      <c r="K143" s="275"/>
      <c r="L143" s="266">
        <f t="shared" si="25"/>
        <v>750</v>
      </c>
      <c r="M143" s="285">
        <f t="shared" si="23"/>
        <v>14540</v>
      </c>
      <c r="N143" s="276"/>
      <c r="O143" s="277"/>
    </row>
    <row r="144" spans="1:15" ht="23.25" customHeight="1" x14ac:dyDescent="0.35">
      <c r="A144" s="256">
        <v>115</v>
      </c>
      <c r="B144" s="279" t="s">
        <v>254</v>
      </c>
      <c r="C144" s="280" t="s">
        <v>218</v>
      </c>
      <c r="D144" s="281" t="s">
        <v>265</v>
      </c>
      <c r="E144" s="330">
        <v>15290</v>
      </c>
      <c r="F144" s="402"/>
      <c r="G144" s="261">
        <f t="shared" si="24"/>
        <v>750</v>
      </c>
      <c r="H144" s="350"/>
      <c r="I144" s="407"/>
      <c r="J144" s="287"/>
      <c r="K144" s="275"/>
      <c r="L144" s="266">
        <f t="shared" si="25"/>
        <v>750</v>
      </c>
      <c r="M144" s="285">
        <f t="shared" si="23"/>
        <v>14540</v>
      </c>
    </row>
    <row r="145" spans="1:15" s="278" customFormat="1" ht="23.25" customHeight="1" x14ac:dyDescent="0.3">
      <c r="A145" s="256">
        <v>116</v>
      </c>
      <c r="B145" s="257" t="s">
        <v>316</v>
      </c>
      <c r="C145" s="258" t="s">
        <v>243</v>
      </c>
      <c r="D145" s="271" t="s">
        <v>317</v>
      </c>
      <c r="E145" s="259">
        <v>15000</v>
      </c>
      <c r="F145" s="294"/>
      <c r="G145" s="261">
        <f t="shared" si="24"/>
        <v>750</v>
      </c>
      <c r="H145" s="273">
        <v>1000</v>
      </c>
      <c r="I145" s="263"/>
      <c r="J145" s="274"/>
      <c r="K145" s="275"/>
      <c r="L145" s="266">
        <f t="shared" si="25"/>
        <v>1750</v>
      </c>
      <c r="M145" s="267">
        <f t="shared" si="23"/>
        <v>13250</v>
      </c>
      <c r="N145" s="276"/>
      <c r="O145" s="277"/>
    </row>
    <row r="146" spans="1:15" s="278" customFormat="1" ht="23.25" customHeight="1" x14ac:dyDescent="0.3">
      <c r="A146" s="256">
        <v>117</v>
      </c>
      <c r="B146" s="279" t="s">
        <v>242</v>
      </c>
      <c r="C146" s="280" t="s">
        <v>243</v>
      </c>
      <c r="D146" s="281" t="s">
        <v>263</v>
      </c>
      <c r="E146" s="408">
        <v>16140</v>
      </c>
      <c r="F146" s="409"/>
      <c r="G146" s="261">
        <f t="shared" si="24"/>
        <v>750</v>
      </c>
      <c r="H146" s="410">
        <f>2000+3800</f>
        <v>5800</v>
      </c>
      <c r="I146" s="411">
        <f>I$5</f>
        <v>486</v>
      </c>
      <c r="J146" s="392"/>
      <c r="K146" s="275"/>
      <c r="L146" s="266">
        <f t="shared" si="25"/>
        <v>7036</v>
      </c>
      <c r="M146" s="412">
        <f t="shared" si="23"/>
        <v>9104</v>
      </c>
      <c r="N146" s="297"/>
      <c r="O146" s="277"/>
    </row>
    <row r="147" spans="1:15" s="278" customFormat="1" ht="23.25" customHeight="1" x14ac:dyDescent="0.3">
      <c r="A147" s="256">
        <v>118</v>
      </c>
      <c r="B147" s="257" t="s">
        <v>152</v>
      </c>
      <c r="C147" s="258" t="s">
        <v>359</v>
      </c>
      <c r="D147" s="271" t="s">
        <v>153</v>
      </c>
      <c r="E147" s="259">
        <v>17340</v>
      </c>
      <c r="F147" s="294"/>
      <c r="G147" s="261">
        <f t="shared" si="24"/>
        <v>750</v>
      </c>
      <c r="H147" s="295"/>
      <c r="I147" s="263">
        <f>I$5</f>
        <v>486</v>
      </c>
      <c r="J147" s="274"/>
      <c r="K147" s="275"/>
      <c r="L147" s="266">
        <f t="shared" si="25"/>
        <v>1236</v>
      </c>
      <c r="M147" s="267">
        <f t="shared" si="23"/>
        <v>16104</v>
      </c>
      <c r="N147" s="276"/>
      <c r="O147" s="277"/>
    </row>
    <row r="148" spans="1:15" s="278" customFormat="1" ht="23.25" customHeight="1" x14ac:dyDescent="0.3">
      <c r="A148" s="256">
        <v>119</v>
      </c>
      <c r="B148" s="413" t="s">
        <v>214</v>
      </c>
      <c r="C148" s="258" t="s">
        <v>215</v>
      </c>
      <c r="D148" s="414" t="s">
        <v>259</v>
      </c>
      <c r="E148" s="330">
        <v>17460</v>
      </c>
      <c r="F148" s="415"/>
      <c r="G148" s="261">
        <f t="shared" si="24"/>
        <v>750</v>
      </c>
      <c r="H148" s="416"/>
      <c r="I148" s="417"/>
      <c r="J148" s="418"/>
      <c r="K148" s="419"/>
      <c r="L148" s="266">
        <f t="shared" si="25"/>
        <v>750</v>
      </c>
      <c r="M148" s="331">
        <f t="shared" si="23"/>
        <v>16710</v>
      </c>
      <c r="N148" s="297"/>
    </row>
    <row r="149" spans="1:15" s="278" customFormat="1" ht="23.25" customHeight="1" x14ac:dyDescent="0.3">
      <c r="A149" s="256">
        <v>120</v>
      </c>
      <c r="B149" s="257" t="s">
        <v>224</v>
      </c>
      <c r="C149" s="258" t="s">
        <v>215</v>
      </c>
      <c r="D149" s="271" t="s">
        <v>260</v>
      </c>
      <c r="E149" s="330">
        <v>17220</v>
      </c>
      <c r="F149" s="294"/>
      <c r="G149" s="261">
        <f t="shared" si="24"/>
        <v>750</v>
      </c>
      <c r="H149" s="292">
        <f>6756+6200</f>
        <v>12956</v>
      </c>
      <c r="I149" s="263">
        <f>I$5</f>
        <v>486</v>
      </c>
      <c r="J149" s="287">
        <f>J$5</f>
        <v>243</v>
      </c>
      <c r="K149" s="275"/>
      <c r="L149" s="266">
        <f t="shared" si="25"/>
        <v>14435</v>
      </c>
      <c r="M149" s="331">
        <f t="shared" si="23"/>
        <v>2785</v>
      </c>
      <c r="N149" s="297"/>
      <c r="O149" s="277"/>
    </row>
    <row r="150" spans="1:15" ht="23.25" customHeight="1" x14ac:dyDescent="0.35">
      <c r="A150" s="420">
        <v>121</v>
      </c>
      <c r="B150" s="257" t="s">
        <v>294</v>
      </c>
      <c r="C150" s="334" t="s">
        <v>295</v>
      </c>
      <c r="D150" s="271" t="s">
        <v>296</v>
      </c>
      <c r="E150" s="259">
        <v>15290</v>
      </c>
      <c r="F150" s="341"/>
      <c r="G150" s="261">
        <f t="shared" si="24"/>
        <v>750</v>
      </c>
      <c r="H150" s="311">
        <v>5673.5</v>
      </c>
      <c r="I150" s="389">
        <f>I$5</f>
        <v>486</v>
      </c>
      <c r="J150" s="264"/>
      <c r="K150" s="421"/>
      <c r="L150" s="266">
        <f t="shared" si="25"/>
        <v>6909.5</v>
      </c>
      <c r="M150" s="267">
        <f t="shared" si="23"/>
        <v>8380.5</v>
      </c>
      <c r="N150" s="268"/>
      <c r="O150" s="269"/>
    </row>
    <row r="151" spans="1:15" ht="23.25" customHeight="1" thickBot="1" x14ac:dyDescent="0.4">
      <c r="A151" s="319"/>
      <c r="B151" s="319" t="s">
        <v>4</v>
      </c>
      <c r="C151" s="362"/>
      <c r="D151" s="385"/>
      <c r="E151" s="422">
        <f>SUM(E126,E130:E150)</f>
        <v>1939028.0558064517</v>
      </c>
      <c r="F151" s="422">
        <f t="shared" ref="F151:M151" si="26">SUM(F126,F130:F150)</f>
        <v>0</v>
      </c>
      <c r="G151" s="422">
        <f t="shared" si="26"/>
        <v>90363.002999999997</v>
      </c>
      <c r="H151" s="422">
        <f t="shared" si="26"/>
        <v>530687.5</v>
      </c>
      <c r="I151" s="422">
        <f t="shared" si="26"/>
        <v>35923</v>
      </c>
      <c r="J151" s="422">
        <f t="shared" si="26"/>
        <v>3645</v>
      </c>
      <c r="K151" s="423">
        <f>SUM(K126,K130:K150)</f>
        <v>0</v>
      </c>
      <c r="L151" s="422">
        <f t="shared" si="26"/>
        <v>660618.49300000002</v>
      </c>
      <c r="M151" s="422">
        <f t="shared" si="26"/>
        <v>1278409.5628064517</v>
      </c>
      <c r="N151" s="364"/>
      <c r="O151" s="269"/>
    </row>
    <row r="152" spans="1:15" s="327" customFormat="1" ht="20.25" customHeight="1" thickTop="1" x14ac:dyDescent="0.35">
      <c r="A152" s="482">
        <v>7</v>
      </c>
      <c r="B152" s="482"/>
      <c r="C152" s="482"/>
      <c r="D152" s="482"/>
      <c r="E152" s="482"/>
      <c r="F152" s="482"/>
      <c r="G152" s="482"/>
      <c r="H152" s="482"/>
      <c r="I152" s="482"/>
      <c r="J152" s="482"/>
      <c r="K152" s="482"/>
      <c r="L152" s="482"/>
      <c r="M152" s="482"/>
      <c r="N152" s="325"/>
      <c r="O152" s="326"/>
    </row>
    <row r="153" spans="1:15" ht="23.25" customHeight="1" x14ac:dyDescent="0.35">
      <c r="A153" s="483" t="s">
        <v>1</v>
      </c>
      <c r="B153" s="485" t="s">
        <v>2</v>
      </c>
      <c r="C153" s="483" t="s">
        <v>9</v>
      </c>
      <c r="D153" s="483" t="s">
        <v>10</v>
      </c>
      <c r="E153" s="488" t="s">
        <v>11</v>
      </c>
      <c r="F153" s="248" t="s">
        <v>562</v>
      </c>
      <c r="G153" s="490" t="s">
        <v>14</v>
      </c>
      <c r="H153" s="491"/>
      <c r="I153" s="491"/>
      <c r="J153" s="491"/>
      <c r="K153" s="492"/>
      <c r="L153" s="249" t="s">
        <v>6</v>
      </c>
      <c r="M153" s="249" t="s">
        <v>3</v>
      </c>
    </row>
    <row r="154" spans="1:15" ht="23.25" customHeight="1" x14ac:dyDescent="0.35">
      <c r="A154" s="484"/>
      <c r="B154" s="486"/>
      <c r="C154" s="487"/>
      <c r="D154" s="487"/>
      <c r="E154" s="489"/>
      <c r="F154" s="250" t="s">
        <v>12</v>
      </c>
      <c r="G154" s="251" t="s">
        <v>12</v>
      </c>
      <c r="H154" s="252" t="s">
        <v>244</v>
      </c>
      <c r="I154" s="253" t="s">
        <v>7</v>
      </c>
      <c r="J154" s="253" t="s">
        <v>8</v>
      </c>
      <c r="K154" s="253" t="s">
        <v>12</v>
      </c>
      <c r="L154" s="254" t="s">
        <v>13</v>
      </c>
      <c r="M154" s="255" t="s">
        <v>184</v>
      </c>
    </row>
    <row r="155" spans="1:15" s="278" customFormat="1" ht="23.25" customHeight="1" x14ac:dyDescent="0.3">
      <c r="A155" s="256">
        <v>122</v>
      </c>
      <c r="B155" s="257" t="s">
        <v>216</v>
      </c>
      <c r="C155" s="258" t="s">
        <v>217</v>
      </c>
      <c r="D155" s="271" t="s">
        <v>264</v>
      </c>
      <c r="E155" s="330">
        <v>17230</v>
      </c>
      <c r="F155" s="294"/>
      <c r="G155" s="328">
        <f>SUM(15000*5%)</f>
        <v>750</v>
      </c>
      <c r="H155" s="292">
        <f>0+7500</f>
        <v>7500</v>
      </c>
      <c r="I155" s="263">
        <f>I$5</f>
        <v>486</v>
      </c>
      <c r="J155" s="274"/>
      <c r="K155" s="275"/>
      <c r="L155" s="331">
        <f>SUM(G155:K155)</f>
        <v>8736</v>
      </c>
      <c r="M155" s="331">
        <f t="shared" ref="M155:M168" si="27">SUM(E155+F155-L155)</f>
        <v>8494</v>
      </c>
      <c r="N155" s="276"/>
      <c r="O155" s="277"/>
    </row>
    <row r="156" spans="1:15" s="278" customFormat="1" ht="23.25" customHeight="1" x14ac:dyDescent="0.3">
      <c r="A156" s="256">
        <v>123</v>
      </c>
      <c r="B156" s="257" t="s">
        <v>219</v>
      </c>
      <c r="C156" s="258" t="s">
        <v>220</v>
      </c>
      <c r="D156" s="271" t="s">
        <v>261</v>
      </c>
      <c r="E156" s="330">
        <v>17450</v>
      </c>
      <c r="F156" s="294"/>
      <c r="G156" s="328">
        <f>SUM(15000*5%)</f>
        <v>750</v>
      </c>
      <c r="H156" s="286">
        <f>0+6200</f>
        <v>6200</v>
      </c>
      <c r="I156" s="263">
        <f>I$5</f>
        <v>486</v>
      </c>
      <c r="J156" s="274"/>
      <c r="K156" s="275"/>
      <c r="L156" s="331">
        <f>SUM(G156:K156)</f>
        <v>7436</v>
      </c>
      <c r="M156" s="285">
        <f t="shared" si="27"/>
        <v>10014</v>
      </c>
      <c r="N156" s="276"/>
      <c r="O156" s="277"/>
    </row>
    <row r="157" spans="1:15" s="317" customFormat="1" ht="23.25" customHeight="1" x14ac:dyDescent="0.3">
      <c r="A157" s="256">
        <v>124</v>
      </c>
      <c r="B157" s="257" t="s">
        <v>534</v>
      </c>
      <c r="C157" s="258" t="s">
        <v>138</v>
      </c>
      <c r="D157" s="271" t="s">
        <v>461</v>
      </c>
      <c r="E157" s="259">
        <v>15000</v>
      </c>
      <c r="F157" s="294"/>
      <c r="G157" s="328">
        <f t="shared" ref="G157:G168" si="28">SUM(15000*5%)</f>
        <v>750</v>
      </c>
      <c r="H157" s="424">
        <v>850</v>
      </c>
      <c r="I157" s="425"/>
      <c r="J157" s="275"/>
      <c r="K157" s="284"/>
      <c r="L157" s="331">
        <f t="shared" ref="L157:L168" si="29">SUM(G157:K157)</f>
        <v>1600</v>
      </c>
      <c r="M157" s="267">
        <f t="shared" si="27"/>
        <v>13400</v>
      </c>
      <c r="N157" s="356"/>
      <c r="O157" s="316"/>
    </row>
    <row r="158" spans="1:15" s="278" customFormat="1" ht="23.25" customHeight="1" x14ac:dyDescent="0.3">
      <c r="A158" s="256">
        <v>125</v>
      </c>
      <c r="B158" s="298" t="s">
        <v>137</v>
      </c>
      <c r="C158" s="343" t="s">
        <v>138</v>
      </c>
      <c r="D158" s="300" t="s">
        <v>139</v>
      </c>
      <c r="E158" s="301">
        <v>17590</v>
      </c>
      <c r="F158" s="272"/>
      <c r="G158" s="328">
        <f t="shared" si="28"/>
        <v>750</v>
      </c>
      <c r="H158" s="302">
        <v>1661.25</v>
      </c>
      <c r="I158" s="333"/>
      <c r="J158" s="303"/>
      <c r="K158" s="284"/>
      <c r="L158" s="331">
        <f t="shared" si="29"/>
        <v>2411.25</v>
      </c>
      <c r="M158" s="346">
        <f t="shared" si="27"/>
        <v>15178.75</v>
      </c>
      <c r="N158" s="276"/>
      <c r="O158" s="277"/>
    </row>
    <row r="159" spans="1:15" ht="23.25" customHeight="1" x14ac:dyDescent="0.35">
      <c r="A159" s="256">
        <v>126</v>
      </c>
      <c r="B159" s="257" t="s">
        <v>338</v>
      </c>
      <c r="C159" s="258" t="s">
        <v>430</v>
      </c>
      <c r="D159" s="271" t="s">
        <v>339</v>
      </c>
      <c r="E159" s="259">
        <v>15110</v>
      </c>
      <c r="F159" s="260"/>
      <c r="G159" s="328">
        <f t="shared" si="28"/>
        <v>750</v>
      </c>
      <c r="H159" s="311">
        <v>1500</v>
      </c>
      <c r="I159" s="263">
        <f>I$5</f>
        <v>486</v>
      </c>
      <c r="J159" s="264"/>
      <c r="K159" s="265"/>
      <c r="L159" s="331">
        <f t="shared" si="29"/>
        <v>2736</v>
      </c>
      <c r="M159" s="267">
        <f t="shared" si="27"/>
        <v>12374</v>
      </c>
      <c r="N159" s="268"/>
      <c r="O159" s="269"/>
    </row>
    <row r="160" spans="1:15" ht="23.25" customHeight="1" x14ac:dyDescent="0.35">
      <c r="A160" s="256">
        <v>127</v>
      </c>
      <c r="B160" s="257" t="s">
        <v>456</v>
      </c>
      <c r="C160" s="258" t="s">
        <v>457</v>
      </c>
      <c r="D160" s="271" t="s">
        <v>458</v>
      </c>
      <c r="E160" s="259">
        <v>15000</v>
      </c>
      <c r="F160" s="341"/>
      <c r="G160" s="328">
        <f t="shared" si="28"/>
        <v>750</v>
      </c>
      <c r="H160" s="270"/>
      <c r="I160" s="312"/>
      <c r="J160" s="264"/>
      <c r="K160" s="306"/>
      <c r="L160" s="331">
        <f t="shared" si="29"/>
        <v>750</v>
      </c>
      <c r="M160" s="404">
        <f t="shared" si="27"/>
        <v>14250</v>
      </c>
      <c r="N160" s="426"/>
      <c r="O160" s="269"/>
    </row>
    <row r="161" spans="1:15" s="317" customFormat="1" ht="23.25" customHeight="1" x14ac:dyDescent="0.3">
      <c r="A161" s="256">
        <v>128</v>
      </c>
      <c r="B161" s="257" t="s">
        <v>444</v>
      </c>
      <c r="C161" s="258" t="s">
        <v>445</v>
      </c>
      <c r="D161" s="271" t="s">
        <v>450</v>
      </c>
      <c r="E161" s="330">
        <v>15000</v>
      </c>
      <c r="F161" s="294"/>
      <c r="G161" s="328">
        <f t="shared" si="28"/>
        <v>750</v>
      </c>
      <c r="H161" s="273">
        <v>800</v>
      </c>
      <c r="I161" s="263"/>
      <c r="J161" s="275"/>
      <c r="K161" s="275"/>
      <c r="L161" s="331">
        <f t="shared" si="29"/>
        <v>1550</v>
      </c>
      <c r="M161" s="285">
        <f t="shared" si="27"/>
        <v>13450</v>
      </c>
      <c r="N161" s="356"/>
      <c r="O161" s="316"/>
    </row>
    <row r="162" spans="1:15" s="278" customFormat="1" ht="23.25" customHeight="1" x14ac:dyDescent="0.3">
      <c r="A162" s="256">
        <v>129</v>
      </c>
      <c r="B162" s="298" t="s">
        <v>17</v>
      </c>
      <c r="C162" s="343" t="s">
        <v>445</v>
      </c>
      <c r="D162" s="300" t="s">
        <v>19</v>
      </c>
      <c r="E162" s="427">
        <v>16910</v>
      </c>
      <c r="F162" s="272"/>
      <c r="G162" s="328">
        <f t="shared" si="28"/>
        <v>750</v>
      </c>
      <c r="H162" s="302">
        <v>2000</v>
      </c>
      <c r="I162" s="263"/>
      <c r="J162" s="303"/>
      <c r="K162" s="284"/>
      <c r="L162" s="331">
        <f t="shared" si="29"/>
        <v>2750</v>
      </c>
      <c r="M162" s="285">
        <f t="shared" si="27"/>
        <v>14160</v>
      </c>
      <c r="N162" s="276"/>
      <c r="O162" s="277"/>
    </row>
    <row r="163" spans="1:15" s="278" customFormat="1" ht="23.25" customHeight="1" x14ac:dyDescent="0.3">
      <c r="A163" s="256">
        <v>130</v>
      </c>
      <c r="B163" s="257" t="s">
        <v>87</v>
      </c>
      <c r="C163" s="258" t="s">
        <v>429</v>
      </c>
      <c r="D163" s="271" t="s">
        <v>89</v>
      </c>
      <c r="E163" s="259">
        <v>16690</v>
      </c>
      <c r="F163" s="294"/>
      <c r="G163" s="328">
        <f t="shared" si="28"/>
        <v>750</v>
      </c>
      <c r="H163" s="286">
        <f>4915+7500</f>
        <v>12415</v>
      </c>
      <c r="I163" s="263">
        <f>I$5</f>
        <v>486</v>
      </c>
      <c r="J163" s="274"/>
      <c r="K163" s="275"/>
      <c r="L163" s="331">
        <f t="shared" si="29"/>
        <v>13651</v>
      </c>
      <c r="M163" s="267">
        <f t="shared" si="27"/>
        <v>3039</v>
      </c>
      <c r="N163" s="276"/>
      <c r="O163" s="277"/>
    </row>
    <row r="164" spans="1:15" s="278" customFormat="1" ht="23.25" customHeight="1" x14ac:dyDescent="0.3">
      <c r="A164" s="256">
        <v>131</v>
      </c>
      <c r="B164" s="257" t="s">
        <v>468</v>
      </c>
      <c r="C164" s="258" t="s">
        <v>21</v>
      </c>
      <c r="D164" s="271" t="s">
        <v>472</v>
      </c>
      <c r="E164" s="330">
        <v>15000</v>
      </c>
      <c r="F164" s="390"/>
      <c r="G164" s="328">
        <f t="shared" si="28"/>
        <v>750</v>
      </c>
      <c r="H164" s="273"/>
      <c r="I164" s="263"/>
      <c r="J164" s="274"/>
      <c r="K164" s="275"/>
      <c r="L164" s="331">
        <f t="shared" si="29"/>
        <v>750</v>
      </c>
      <c r="M164" s="285">
        <f t="shared" si="27"/>
        <v>14250</v>
      </c>
      <c r="N164" s="297"/>
      <c r="O164" s="277"/>
    </row>
    <row r="165" spans="1:15" s="278" customFormat="1" ht="23.25" customHeight="1" x14ac:dyDescent="0.3">
      <c r="A165" s="256">
        <v>132</v>
      </c>
      <c r="B165" s="298" t="s">
        <v>557</v>
      </c>
      <c r="C165" s="343" t="s">
        <v>558</v>
      </c>
      <c r="D165" s="300" t="s">
        <v>560</v>
      </c>
      <c r="E165" s="330">
        <v>15000</v>
      </c>
      <c r="F165" s="390"/>
      <c r="G165" s="328">
        <f t="shared" si="28"/>
        <v>750</v>
      </c>
      <c r="H165" s="302"/>
      <c r="I165" s="355">
        <f>I$5+456</f>
        <v>942</v>
      </c>
      <c r="J165" s="303"/>
      <c r="K165" s="284"/>
      <c r="L165" s="331">
        <f t="shared" si="29"/>
        <v>1692</v>
      </c>
      <c r="M165" s="285">
        <f t="shared" si="27"/>
        <v>13308</v>
      </c>
      <c r="N165" s="297" t="s">
        <v>559</v>
      </c>
      <c r="O165" s="277"/>
    </row>
    <row r="166" spans="1:15" s="278" customFormat="1" ht="23.25" customHeight="1" x14ac:dyDescent="0.3">
      <c r="A166" s="256">
        <v>133</v>
      </c>
      <c r="B166" s="298" t="s">
        <v>15</v>
      </c>
      <c r="C166" s="343" t="s">
        <v>428</v>
      </c>
      <c r="D166" s="300" t="s">
        <v>16</v>
      </c>
      <c r="E166" s="330">
        <v>16720</v>
      </c>
      <c r="F166" s="272"/>
      <c r="G166" s="328">
        <f t="shared" si="28"/>
        <v>750</v>
      </c>
      <c r="H166" s="302">
        <v>5575.25</v>
      </c>
      <c r="I166" s="345">
        <f>I$5</f>
        <v>486</v>
      </c>
      <c r="J166" s="303"/>
      <c r="K166" s="284"/>
      <c r="L166" s="331">
        <f t="shared" si="29"/>
        <v>6811.25</v>
      </c>
      <c r="M166" s="285">
        <f t="shared" si="27"/>
        <v>9908.75</v>
      </c>
      <c r="N166" s="276"/>
      <c r="O166" s="277"/>
    </row>
    <row r="167" spans="1:15" ht="23.25" customHeight="1" x14ac:dyDescent="0.35">
      <c r="A167" s="256">
        <v>134</v>
      </c>
      <c r="B167" s="279" t="s">
        <v>394</v>
      </c>
      <c r="C167" s="280" t="s">
        <v>435</v>
      </c>
      <c r="D167" s="281" t="s">
        <v>403</v>
      </c>
      <c r="E167" s="310">
        <v>15000</v>
      </c>
      <c r="F167" s="341"/>
      <c r="G167" s="328">
        <f t="shared" si="28"/>
        <v>750</v>
      </c>
      <c r="H167" s="314"/>
      <c r="I167" s="428"/>
      <c r="J167" s="305"/>
      <c r="K167" s="306"/>
      <c r="L167" s="331">
        <f t="shared" si="29"/>
        <v>750</v>
      </c>
      <c r="M167" s="404">
        <f t="shared" si="27"/>
        <v>14250</v>
      </c>
      <c r="N167" s="268"/>
      <c r="O167" s="269"/>
    </row>
    <row r="168" spans="1:15" s="317" customFormat="1" ht="23.25" customHeight="1" x14ac:dyDescent="0.3">
      <c r="A168" s="256">
        <v>135</v>
      </c>
      <c r="B168" s="257" t="s">
        <v>440</v>
      </c>
      <c r="C168" s="258" t="s">
        <v>441</v>
      </c>
      <c r="D168" s="271" t="s">
        <v>448</v>
      </c>
      <c r="E168" s="259">
        <v>15000</v>
      </c>
      <c r="F168" s="272"/>
      <c r="G168" s="328">
        <f t="shared" si="28"/>
        <v>750</v>
      </c>
      <c r="H168" s="273">
        <v>600</v>
      </c>
      <c r="I168" s="355"/>
      <c r="J168" s="275"/>
      <c r="K168" s="275"/>
      <c r="L168" s="331">
        <f t="shared" si="29"/>
        <v>1350</v>
      </c>
      <c r="M168" s="267">
        <f t="shared" si="27"/>
        <v>13650</v>
      </c>
      <c r="N168" s="429"/>
      <c r="O168" s="316"/>
    </row>
    <row r="169" spans="1:15" s="278" customFormat="1" ht="23.25" customHeight="1" x14ac:dyDescent="0.3">
      <c r="A169" s="420"/>
      <c r="B169" s="430"/>
      <c r="C169" s="431"/>
      <c r="D169" s="432"/>
      <c r="E169" s="433"/>
      <c r="F169" s="409"/>
      <c r="G169" s="434"/>
      <c r="H169" s="435"/>
      <c r="I169" s="436"/>
      <c r="J169" s="392"/>
      <c r="K169" s="351"/>
      <c r="L169" s="331"/>
      <c r="M169" s="267"/>
      <c r="N169" s="383"/>
      <c r="O169" s="277"/>
    </row>
    <row r="170" spans="1:15" ht="23.25" customHeight="1" thickBot="1" x14ac:dyDescent="0.4">
      <c r="A170" s="319"/>
      <c r="B170" s="319" t="s">
        <v>5</v>
      </c>
      <c r="C170" s="362"/>
      <c r="D170" s="385"/>
      <c r="E170" s="422">
        <f t="shared" ref="E170:M170" si="30">SUM(E151,E155:E169)</f>
        <v>2161728.0558064515</v>
      </c>
      <c r="F170" s="422">
        <f t="shared" si="30"/>
        <v>0</v>
      </c>
      <c r="G170" s="422">
        <f t="shared" si="30"/>
        <v>100863.003</v>
      </c>
      <c r="H170" s="422">
        <f t="shared" si="30"/>
        <v>569789</v>
      </c>
      <c r="I170" s="422">
        <f t="shared" si="30"/>
        <v>39295</v>
      </c>
      <c r="J170" s="422">
        <f t="shared" si="30"/>
        <v>3645</v>
      </c>
      <c r="K170" s="422">
        <f t="shared" si="30"/>
        <v>0</v>
      </c>
      <c r="L170" s="422">
        <f t="shared" si="30"/>
        <v>713591.99300000002</v>
      </c>
      <c r="M170" s="422">
        <f t="shared" si="30"/>
        <v>1448136.0628064517</v>
      </c>
      <c r="N170" s="364"/>
      <c r="O170" s="269"/>
    </row>
    <row r="171" spans="1:15" ht="21.75" thickTop="1" x14ac:dyDescent="0.35">
      <c r="A171" s="437" t="s">
        <v>207</v>
      </c>
      <c r="C171" s="227" t="str">
        <f>BAHTTEXT(M170)</f>
        <v>หนึ่งล้านสี่แสนสี่หมื่นแปดพันหนึ่งร้อยสามสิบหกบาทหกสตางค์</v>
      </c>
    </row>
    <row r="172" spans="1:15" x14ac:dyDescent="0.35">
      <c r="A172" s="437" t="s">
        <v>208</v>
      </c>
      <c r="I172" s="438" t="str">
        <f>M3</f>
        <v>28 มกราคม 2556</v>
      </c>
    </row>
    <row r="173" spans="1:15" x14ac:dyDescent="0.35">
      <c r="A173" s="437" t="s">
        <v>210</v>
      </c>
      <c r="C173" s="439">
        <f>M170</f>
        <v>1448136.0628064517</v>
      </c>
      <c r="D173" s="227" t="s">
        <v>211</v>
      </c>
      <c r="E173" s="227" t="str">
        <f>BAHTTEXT(C173)</f>
        <v>หนึ่งล้านสี่แสนสี่หมื่นแปดพันหนึ่งร้อยสามสิบหกบาทหกสตางค์</v>
      </c>
    </row>
    <row r="174" spans="1:15" x14ac:dyDescent="0.35">
      <c r="A174" s="437" t="s">
        <v>568</v>
      </c>
    </row>
    <row r="175" spans="1:15" x14ac:dyDescent="0.35">
      <c r="A175" s="437"/>
      <c r="F175" s="227" t="s">
        <v>212</v>
      </c>
    </row>
    <row r="176" spans="1:15" x14ac:dyDescent="0.35">
      <c r="A176" s="437"/>
      <c r="F176" s="227" t="s">
        <v>213</v>
      </c>
    </row>
    <row r="177" spans="1:11" x14ac:dyDescent="0.35">
      <c r="A177" s="437"/>
    </row>
    <row r="178" spans="1:11" x14ac:dyDescent="0.35">
      <c r="A178" s="437"/>
      <c r="B178" s="440"/>
      <c r="C178" s="440"/>
      <c r="D178" s="440"/>
      <c r="E178" s="441">
        <f>SUM(E179:E180)-E181</f>
        <v>2173824.83</v>
      </c>
      <c r="F178" s="442">
        <f>SUM(F179:F180)</f>
        <v>0</v>
      </c>
      <c r="G178" s="469">
        <f>SUM(G179:G180)-G181</f>
        <v>101468</v>
      </c>
      <c r="H178" s="470">
        <f>SUM(H179:H181)</f>
        <v>569789</v>
      </c>
      <c r="I178" s="443">
        <f>SUM(I179:I180)</f>
        <v>39295</v>
      </c>
      <c r="J178" s="227">
        <v>3645</v>
      </c>
    </row>
    <row r="179" spans="1:11" x14ac:dyDescent="0.35">
      <c r="A179" s="437"/>
      <c r="B179" s="440"/>
      <c r="C179" s="440"/>
      <c r="D179" s="440"/>
      <c r="E179" s="444">
        <v>2161728.06</v>
      </c>
      <c r="F179" s="444"/>
      <c r="G179" s="469">
        <v>100863</v>
      </c>
      <c r="H179" s="470">
        <v>355200</v>
      </c>
      <c r="I179" s="443">
        <v>39295</v>
      </c>
    </row>
    <row r="180" spans="1:11" x14ac:dyDescent="0.35">
      <c r="B180" s="440"/>
      <c r="C180" s="440"/>
      <c r="D180" s="440"/>
      <c r="E180" s="444">
        <v>12096.77</v>
      </c>
      <c r="F180" s="445"/>
      <c r="G180" s="469">
        <v>605</v>
      </c>
      <c r="H180" s="470">
        <v>214589</v>
      </c>
      <c r="I180" s="446"/>
      <c r="J180" s="447"/>
      <c r="K180" s="447"/>
    </row>
    <row r="181" spans="1:11" x14ac:dyDescent="0.35">
      <c r="B181" s="440"/>
      <c r="C181" s="440"/>
      <c r="D181" s="440"/>
      <c r="E181" s="448"/>
      <c r="F181" s="440"/>
    </row>
  </sheetData>
  <mergeCells count="48">
    <mergeCell ref="A102:M102"/>
    <mergeCell ref="A103:A104"/>
    <mergeCell ref="B103:B104"/>
    <mergeCell ref="C103:C104"/>
    <mergeCell ref="D103:D104"/>
    <mergeCell ref="E103:E104"/>
    <mergeCell ref="G103:K103"/>
    <mergeCell ref="G6:K6"/>
    <mergeCell ref="A27:M27"/>
    <mergeCell ref="A28:A29"/>
    <mergeCell ref="B28:B29"/>
    <mergeCell ref="C28:C29"/>
    <mergeCell ref="D28:D29"/>
    <mergeCell ref="E28:E29"/>
    <mergeCell ref="G28:K28"/>
    <mergeCell ref="A6:A7"/>
    <mergeCell ref="B6:B7"/>
    <mergeCell ref="C6:C7"/>
    <mergeCell ref="D6:D7"/>
    <mergeCell ref="E6:E7"/>
    <mergeCell ref="A52:M52"/>
    <mergeCell ref="A53:A54"/>
    <mergeCell ref="B53:B54"/>
    <mergeCell ref="C53:C54"/>
    <mergeCell ref="D53:D54"/>
    <mergeCell ref="E53:E54"/>
    <mergeCell ref="G53:K53"/>
    <mergeCell ref="A77:M77"/>
    <mergeCell ref="A78:A79"/>
    <mergeCell ref="B78:B79"/>
    <mergeCell ref="C78:C79"/>
    <mergeCell ref="D78:D79"/>
    <mergeCell ref="E78:E79"/>
    <mergeCell ref="G78:K78"/>
    <mergeCell ref="A127:M127"/>
    <mergeCell ref="A128:A129"/>
    <mergeCell ref="B128:B129"/>
    <mergeCell ref="C128:C129"/>
    <mergeCell ref="D128:D129"/>
    <mergeCell ref="E128:E129"/>
    <mergeCell ref="G128:K128"/>
    <mergeCell ref="A152:M152"/>
    <mergeCell ref="A153:A154"/>
    <mergeCell ref="B153:B154"/>
    <mergeCell ref="C153:C154"/>
    <mergeCell ref="D153:D154"/>
    <mergeCell ref="E153:E154"/>
    <mergeCell ref="G153:K153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74" t="s">
        <v>1</v>
      </c>
      <c r="B7" s="476" t="s">
        <v>2</v>
      </c>
      <c r="C7" s="474" t="s">
        <v>9</v>
      </c>
      <c r="D7" s="474" t="s">
        <v>10</v>
      </c>
      <c r="E7" s="479" t="s">
        <v>11</v>
      </c>
      <c r="F7" s="103" t="s">
        <v>230</v>
      </c>
      <c r="G7" s="471" t="s">
        <v>14</v>
      </c>
      <c r="H7" s="472"/>
      <c r="I7" s="472"/>
      <c r="J7" s="473"/>
      <c r="K7" s="6" t="s">
        <v>6</v>
      </c>
      <c r="L7" s="6" t="s">
        <v>3</v>
      </c>
    </row>
    <row r="8" spans="1:14" ht="23.25" customHeight="1" x14ac:dyDescent="0.5">
      <c r="A8" s="475"/>
      <c r="B8" s="477"/>
      <c r="C8" s="478"/>
      <c r="D8" s="478"/>
      <c r="E8" s="480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81">
        <v>2</v>
      </c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  <c r="M26" s="15"/>
      <c r="N26" s="26"/>
    </row>
    <row r="27" spans="1:15" ht="23.25" customHeight="1" x14ac:dyDescent="0.5">
      <c r="A27" s="474" t="s">
        <v>1</v>
      </c>
      <c r="B27" s="476" t="s">
        <v>2</v>
      </c>
      <c r="C27" s="474" t="s">
        <v>9</v>
      </c>
      <c r="D27" s="474" t="s">
        <v>10</v>
      </c>
      <c r="E27" s="479" t="s">
        <v>11</v>
      </c>
      <c r="F27" s="93" t="s">
        <v>230</v>
      </c>
      <c r="G27" s="471" t="s">
        <v>14</v>
      </c>
      <c r="H27" s="472"/>
      <c r="I27" s="472"/>
      <c r="J27" s="473"/>
      <c r="K27" s="6" t="s">
        <v>6</v>
      </c>
      <c r="L27" s="6" t="s">
        <v>3</v>
      </c>
    </row>
    <row r="28" spans="1:15" ht="23.25" customHeight="1" x14ac:dyDescent="0.5">
      <c r="A28" s="475"/>
      <c r="B28" s="477"/>
      <c r="C28" s="478"/>
      <c r="D28" s="478"/>
      <c r="E28" s="480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81">
        <v>3</v>
      </c>
      <c r="B51" s="481"/>
      <c r="C51" s="481"/>
      <c r="D51" s="481"/>
      <c r="E51" s="481"/>
      <c r="F51" s="481"/>
      <c r="G51" s="481"/>
      <c r="H51" s="481"/>
      <c r="I51" s="481"/>
      <c r="J51" s="481"/>
      <c r="K51" s="481"/>
      <c r="L51" s="481"/>
      <c r="M51" s="15"/>
      <c r="N51" s="26"/>
    </row>
    <row r="52" spans="1:14" ht="23.25" customHeight="1" x14ac:dyDescent="0.5">
      <c r="A52" s="474" t="s">
        <v>1</v>
      </c>
      <c r="B52" s="476" t="s">
        <v>2</v>
      </c>
      <c r="C52" s="474" t="s">
        <v>9</v>
      </c>
      <c r="D52" s="474" t="s">
        <v>10</v>
      </c>
      <c r="E52" s="479" t="s">
        <v>11</v>
      </c>
      <c r="F52" s="93" t="s">
        <v>230</v>
      </c>
      <c r="G52" s="471" t="s">
        <v>14</v>
      </c>
      <c r="H52" s="472"/>
      <c r="I52" s="472"/>
      <c r="J52" s="473"/>
      <c r="K52" s="6" t="s">
        <v>6</v>
      </c>
      <c r="L52" s="6" t="s">
        <v>3</v>
      </c>
    </row>
    <row r="53" spans="1:14" ht="23.25" customHeight="1" x14ac:dyDescent="0.5">
      <c r="A53" s="475"/>
      <c r="B53" s="477"/>
      <c r="C53" s="478"/>
      <c r="D53" s="478"/>
      <c r="E53" s="480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81">
        <v>4</v>
      </c>
      <c r="B76" s="481"/>
      <c r="C76" s="481"/>
      <c r="D76" s="481"/>
      <c r="E76" s="481"/>
      <c r="F76" s="481"/>
      <c r="G76" s="481"/>
      <c r="H76" s="481"/>
      <c r="I76" s="481"/>
      <c r="J76" s="481"/>
      <c r="K76" s="481"/>
      <c r="L76" s="481"/>
      <c r="M76" s="15"/>
      <c r="N76" s="26"/>
    </row>
    <row r="77" spans="1:15" ht="23.25" customHeight="1" x14ac:dyDescent="0.5">
      <c r="A77" s="474" t="s">
        <v>1</v>
      </c>
      <c r="B77" s="476" t="s">
        <v>2</v>
      </c>
      <c r="C77" s="474" t="s">
        <v>9</v>
      </c>
      <c r="D77" s="474" t="s">
        <v>10</v>
      </c>
      <c r="E77" s="479" t="s">
        <v>11</v>
      </c>
      <c r="F77" s="93" t="s">
        <v>230</v>
      </c>
      <c r="G77" s="471" t="s">
        <v>14</v>
      </c>
      <c r="H77" s="472"/>
      <c r="I77" s="472"/>
      <c r="J77" s="473"/>
      <c r="K77" s="6" t="s">
        <v>6</v>
      </c>
      <c r="L77" s="6" t="s">
        <v>3</v>
      </c>
    </row>
    <row r="78" spans="1:15" ht="23.25" customHeight="1" x14ac:dyDescent="0.5">
      <c r="A78" s="475"/>
      <c r="B78" s="477"/>
      <c r="C78" s="478"/>
      <c r="D78" s="478"/>
      <c r="E78" s="480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81">
        <v>5</v>
      </c>
      <c r="B101" s="481"/>
      <c r="C101" s="481"/>
      <c r="D101" s="481"/>
      <c r="E101" s="481"/>
      <c r="F101" s="481"/>
      <c r="G101" s="481"/>
      <c r="H101" s="481"/>
      <c r="I101" s="481"/>
      <c r="J101" s="481"/>
      <c r="K101" s="481"/>
      <c r="L101" s="481"/>
      <c r="M101" s="15"/>
      <c r="N101" s="26"/>
    </row>
    <row r="102" spans="1:14" ht="23.25" customHeight="1" x14ac:dyDescent="0.5">
      <c r="A102" s="474" t="s">
        <v>1</v>
      </c>
      <c r="B102" s="476" t="s">
        <v>2</v>
      </c>
      <c r="C102" s="474" t="s">
        <v>9</v>
      </c>
      <c r="D102" s="474" t="s">
        <v>10</v>
      </c>
      <c r="E102" s="479" t="s">
        <v>11</v>
      </c>
      <c r="F102" s="93" t="s">
        <v>230</v>
      </c>
      <c r="G102" s="471" t="s">
        <v>14</v>
      </c>
      <c r="H102" s="472"/>
      <c r="I102" s="472"/>
      <c r="J102" s="473"/>
      <c r="K102" s="6" t="s">
        <v>6</v>
      </c>
      <c r="L102" s="6" t="s">
        <v>3</v>
      </c>
    </row>
    <row r="103" spans="1:14" ht="23.25" customHeight="1" x14ac:dyDescent="0.5">
      <c r="A103" s="475"/>
      <c r="B103" s="477"/>
      <c r="C103" s="478"/>
      <c r="D103" s="478"/>
      <c r="E103" s="480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81">
        <v>6</v>
      </c>
      <c r="B126" s="481"/>
      <c r="C126" s="481"/>
      <c r="D126" s="481"/>
      <c r="E126" s="481"/>
      <c r="F126" s="481"/>
      <c r="G126" s="481"/>
      <c r="H126" s="481"/>
      <c r="I126" s="481"/>
      <c r="J126" s="481"/>
      <c r="K126" s="481"/>
      <c r="L126" s="481"/>
      <c r="M126" s="15"/>
      <c r="N126" s="26"/>
    </row>
    <row r="127" spans="1:14" ht="23.25" customHeight="1" x14ac:dyDescent="0.5">
      <c r="A127" s="474" t="s">
        <v>1</v>
      </c>
      <c r="B127" s="476" t="s">
        <v>2</v>
      </c>
      <c r="C127" s="474" t="s">
        <v>9</v>
      </c>
      <c r="D127" s="474" t="s">
        <v>10</v>
      </c>
      <c r="E127" s="479" t="s">
        <v>11</v>
      </c>
      <c r="F127" s="93" t="s">
        <v>230</v>
      </c>
      <c r="G127" s="471" t="s">
        <v>14</v>
      </c>
      <c r="H127" s="472"/>
      <c r="I127" s="472"/>
      <c r="J127" s="473"/>
      <c r="K127" s="6" t="s">
        <v>6</v>
      </c>
      <c r="L127" s="6" t="s">
        <v>3</v>
      </c>
    </row>
    <row r="128" spans="1:14" ht="23.25" customHeight="1" x14ac:dyDescent="0.5">
      <c r="A128" s="475"/>
      <c r="B128" s="477"/>
      <c r="C128" s="478"/>
      <c r="D128" s="478"/>
      <c r="E128" s="480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81">
        <v>7</v>
      </c>
      <c r="B151" s="481"/>
      <c r="C151" s="481"/>
      <c r="D151" s="481"/>
      <c r="E151" s="481"/>
      <c r="F151" s="481"/>
      <c r="G151" s="481"/>
      <c r="H151" s="481"/>
      <c r="I151" s="481"/>
      <c r="J151" s="481"/>
      <c r="K151" s="481"/>
      <c r="L151" s="481"/>
      <c r="M151" s="15"/>
      <c r="N151" s="26"/>
    </row>
    <row r="152" spans="1:15" ht="21" customHeight="1" x14ac:dyDescent="0.5">
      <c r="A152" s="474" t="s">
        <v>1</v>
      </c>
      <c r="B152" s="476" t="s">
        <v>2</v>
      </c>
      <c r="C152" s="474" t="s">
        <v>9</v>
      </c>
      <c r="D152" s="474" t="s">
        <v>10</v>
      </c>
      <c r="E152" s="479" t="s">
        <v>11</v>
      </c>
      <c r="F152" s="93" t="s">
        <v>230</v>
      </c>
      <c r="G152" s="471" t="s">
        <v>14</v>
      </c>
      <c r="H152" s="472"/>
      <c r="I152" s="472"/>
      <c r="J152" s="473"/>
      <c r="K152" s="6" t="s">
        <v>6</v>
      </c>
      <c r="L152" s="6" t="s">
        <v>3</v>
      </c>
    </row>
    <row r="153" spans="1:15" ht="19.5" customHeight="1" x14ac:dyDescent="0.5">
      <c r="A153" s="475"/>
      <c r="B153" s="477"/>
      <c r="C153" s="478"/>
      <c r="D153" s="478"/>
      <c r="E153" s="480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476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477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498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523</v>
      </c>
      <c r="C5" s="236">
        <v>5000</v>
      </c>
      <c r="D5" s="237">
        <v>1000</v>
      </c>
      <c r="E5" s="229" t="s">
        <v>545</v>
      </c>
    </row>
    <row r="6" spans="1:5" x14ac:dyDescent="0.35">
      <c r="A6" s="234">
        <v>5</v>
      </c>
      <c r="B6" s="235" t="s">
        <v>478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479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480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503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500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494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493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488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546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524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547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490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497</v>
      </c>
      <c r="C18" s="236">
        <v>7500</v>
      </c>
      <c r="D18" s="237">
        <v>400</v>
      </c>
      <c r="E18" s="229" t="s">
        <v>548</v>
      </c>
    </row>
    <row r="19" spans="1:5" x14ac:dyDescent="0.35">
      <c r="A19" s="234">
        <v>18</v>
      </c>
      <c r="B19" s="235" t="s">
        <v>549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486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487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485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496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495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522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499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483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491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492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489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484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482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481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550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514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502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508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507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509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504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505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506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551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512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552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501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516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515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513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553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510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517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518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519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520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521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511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554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กรุงไทย   (2)</vt:lpstr>
      <vt:lpstr>กรุงไทย  </vt:lpstr>
      <vt:lpstr>ตกเบิก 5%</vt:lpstr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2013-01-21T07:00:11Z</cp:lastPrinted>
  <dcterms:created xsi:type="dcterms:W3CDTF">2004-03-31T01:53:43Z</dcterms:created>
  <dcterms:modified xsi:type="dcterms:W3CDTF">2013-01-21T07:02:48Z</dcterms:modified>
</cp:coreProperties>
</file>