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915" windowWidth="11340" windowHeight="5505" firstSheet="1" activeTab="1"/>
  </bookViews>
  <sheets>
    <sheet name="กรุงไทย   (2)" sheetId="15" state="hidden" r:id="rId1"/>
    <sheet name="กรุงไทย  " sheetId="13" r:id="rId2"/>
    <sheet name="ตกเบิก 5%" sheetId="12" state="hidden" r:id="rId3"/>
    <sheet name="Sheet2" sheetId="14" state="hidden" r:id="rId4"/>
    <sheet name="Sheet1" sheetId="16" r:id="rId5"/>
    <sheet name="Sheet3" sheetId="17" r:id="rId6"/>
  </sheets>
  <calcPr calcId="145621"/>
</workbook>
</file>

<file path=xl/calcChain.xml><?xml version="1.0" encoding="utf-8"?>
<calcChain xmlns="http://schemas.openxmlformats.org/spreadsheetml/2006/main">
  <c r="H90" i="13" l="1"/>
  <c r="H168" i="13"/>
  <c r="H164" i="13"/>
  <c r="H163" i="13"/>
  <c r="H154" i="13"/>
  <c r="H149" i="13"/>
  <c r="H146" i="13"/>
  <c r="H136" i="13"/>
  <c r="H134" i="13"/>
  <c r="H132" i="13"/>
  <c r="H130" i="13"/>
  <c r="H124" i="13"/>
  <c r="H122" i="13"/>
  <c r="H120" i="13"/>
  <c r="H113" i="13"/>
  <c r="H111" i="13"/>
  <c r="H110" i="13"/>
  <c r="H108" i="13" l="1"/>
  <c r="H105" i="13"/>
  <c r="H98" i="13"/>
  <c r="H93" i="13"/>
  <c r="H87" i="13"/>
  <c r="H82" i="13"/>
  <c r="H70" i="13"/>
  <c r="H67" i="13"/>
  <c r="H65" i="13"/>
  <c r="H59" i="13"/>
  <c r="H58" i="13"/>
  <c r="H49" i="13"/>
  <c r="H47" i="13"/>
  <c r="H36" i="13"/>
  <c r="H20" i="13"/>
  <c r="H16" i="13"/>
  <c r="H15" i="13"/>
  <c r="H41" i="13" l="1"/>
  <c r="G81" i="13"/>
  <c r="I164" i="13"/>
  <c r="I166" i="13"/>
  <c r="I163" i="13"/>
  <c r="I159" i="13"/>
  <c r="I156" i="13"/>
  <c r="I155" i="13"/>
  <c r="I154" i="13"/>
  <c r="J149" i="13"/>
  <c r="I149" i="13"/>
  <c r="I147" i="13"/>
  <c r="J146" i="13"/>
  <c r="I146" i="13"/>
  <c r="I140" i="13"/>
  <c r="J137" i="13"/>
  <c r="I137" i="13"/>
  <c r="I133" i="13"/>
  <c r="I134" i="13"/>
  <c r="J130" i="13"/>
  <c r="I130" i="13"/>
  <c r="I120" i="13"/>
  <c r="I121" i="13"/>
  <c r="I122" i="13"/>
  <c r="I123" i="13"/>
  <c r="I124" i="13"/>
  <c r="I116" i="13"/>
  <c r="I117" i="13"/>
  <c r="I118" i="13"/>
  <c r="I115" i="13"/>
  <c r="J113" i="13"/>
  <c r="I113" i="13"/>
  <c r="I110" i="13"/>
  <c r="I111" i="13"/>
  <c r="J108" i="13"/>
  <c r="I107" i="13"/>
  <c r="I108" i="13"/>
  <c r="I105" i="13"/>
  <c r="I89" i="13"/>
  <c r="I90" i="13"/>
  <c r="I87" i="13"/>
  <c r="I84" i="13"/>
  <c r="I85" i="13"/>
  <c r="I82" i="13"/>
  <c r="I80" i="13"/>
  <c r="I69" i="13"/>
  <c r="I70" i="13"/>
  <c r="I67" i="13"/>
  <c r="I63" i="13"/>
  <c r="I64" i="13"/>
  <c r="I65" i="13"/>
  <c r="I62" i="13"/>
  <c r="I59" i="13"/>
  <c r="J58" i="13"/>
  <c r="I58" i="13"/>
  <c r="I45" i="13"/>
  <c r="I46" i="13"/>
  <c r="I43" i="13"/>
  <c r="J40" i="13"/>
  <c r="I38" i="13"/>
  <c r="I39" i="13"/>
  <c r="I40" i="13"/>
  <c r="I36" i="13"/>
  <c r="J30" i="13"/>
  <c r="I30" i="13"/>
  <c r="I29" i="13"/>
  <c r="J17" i="13"/>
  <c r="I16" i="13"/>
  <c r="I17" i="13"/>
  <c r="I19" i="13"/>
  <c r="I20" i="13"/>
  <c r="I15" i="13"/>
  <c r="I10" i="13"/>
  <c r="I11" i="13"/>
  <c r="I9" i="13"/>
  <c r="I8" i="13"/>
  <c r="H64" i="13" l="1"/>
  <c r="G22" i="13" l="1"/>
  <c r="H80" i="13"/>
  <c r="H94" i="13" l="1"/>
  <c r="H117" i="13"/>
  <c r="H8" i="13"/>
  <c r="H30" i="13"/>
  <c r="G164" i="13"/>
  <c r="G165" i="13"/>
  <c r="G166" i="13"/>
  <c r="G167" i="13"/>
  <c r="G168" i="13"/>
  <c r="G156" i="13"/>
  <c r="G157" i="13"/>
  <c r="G158" i="13"/>
  <c r="G159" i="13"/>
  <c r="G160" i="13"/>
  <c r="G161" i="13"/>
  <c r="G162" i="13"/>
  <c r="G163" i="13"/>
  <c r="G155" i="13"/>
  <c r="G154" i="13"/>
  <c r="G144" i="13"/>
  <c r="G145" i="13"/>
  <c r="G146" i="13"/>
  <c r="G147" i="13"/>
  <c r="G148" i="13"/>
  <c r="G149" i="13"/>
  <c r="G138" i="13"/>
  <c r="G139" i="13"/>
  <c r="G140" i="13"/>
  <c r="G141" i="13"/>
  <c r="G142" i="13"/>
  <c r="G143" i="13"/>
  <c r="G132" i="13"/>
  <c r="G133" i="13"/>
  <c r="G134" i="13"/>
  <c r="G135" i="13"/>
  <c r="G136" i="13"/>
  <c r="G137" i="13"/>
  <c r="G130" i="13"/>
  <c r="G129" i="13"/>
  <c r="G122" i="13"/>
  <c r="G123" i="13"/>
  <c r="G124" i="13"/>
  <c r="G113" i="13"/>
  <c r="G114" i="13"/>
  <c r="G115" i="13"/>
  <c r="G116" i="13"/>
  <c r="G117" i="13"/>
  <c r="G118" i="13"/>
  <c r="G119" i="13"/>
  <c r="G120" i="13"/>
  <c r="G121" i="13"/>
  <c r="G106" i="13"/>
  <c r="G107" i="13"/>
  <c r="G108" i="13"/>
  <c r="G109" i="13"/>
  <c r="G110" i="13"/>
  <c r="G111" i="13"/>
  <c r="G112" i="13"/>
  <c r="G105" i="13"/>
  <c r="G104" i="13"/>
  <c r="G98" i="13"/>
  <c r="G99" i="13"/>
  <c r="G97" i="13"/>
  <c r="G91" i="13"/>
  <c r="G92" i="13"/>
  <c r="G93" i="13"/>
  <c r="G94" i="13"/>
  <c r="G95" i="13"/>
  <c r="G83" i="13"/>
  <c r="G84" i="13"/>
  <c r="G85" i="13"/>
  <c r="G86" i="13"/>
  <c r="G87" i="13"/>
  <c r="G88" i="13"/>
  <c r="G89" i="13"/>
  <c r="G90" i="13"/>
  <c r="G82" i="13"/>
  <c r="G80" i="13"/>
  <c r="G79" i="13"/>
  <c r="G65" i="13"/>
  <c r="G66" i="13"/>
  <c r="G67" i="13"/>
  <c r="G68" i="13"/>
  <c r="G69" i="13"/>
  <c r="G70" i="13"/>
  <c r="G71" i="13"/>
  <c r="G72" i="13"/>
  <c r="G73" i="13"/>
  <c r="G56" i="13"/>
  <c r="G57" i="13"/>
  <c r="G58" i="13"/>
  <c r="G59" i="13"/>
  <c r="G60" i="13"/>
  <c r="G61" i="13"/>
  <c r="G62" i="13"/>
  <c r="G63" i="13"/>
  <c r="G64" i="13"/>
  <c r="G55" i="13"/>
  <c r="G54" i="13"/>
  <c r="G48" i="13"/>
  <c r="G49" i="13"/>
  <c r="G43" i="13"/>
  <c r="G44" i="13"/>
  <c r="G45" i="13"/>
  <c r="G46" i="13"/>
  <c r="G47" i="13"/>
  <c r="G35" i="13"/>
  <c r="G36" i="13"/>
  <c r="G37" i="13"/>
  <c r="G38" i="13"/>
  <c r="G39" i="13"/>
  <c r="G40" i="13"/>
  <c r="G41" i="13"/>
  <c r="G42" i="13"/>
  <c r="G31" i="13"/>
  <c r="G32" i="13"/>
  <c r="G34" i="13"/>
  <c r="G30" i="13"/>
  <c r="G29" i="13"/>
  <c r="G24" i="13"/>
  <c r="G17" i="13"/>
  <c r="G18" i="13"/>
  <c r="G19" i="13"/>
  <c r="G20" i="13"/>
  <c r="G21" i="13"/>
  <c r="G23" i="13"/>
  <c r="G11" i="13"/>
  <c r="G12" i="13"/>
  <c r="G13" i="13"/>
  <c r="G14" i="13"/>
  <c r="G15" i="13"/>
  <c r="G16" i="13"/>
  <c r="G10" i="13"/>
  <c r="G9" i="13"/>
  <c r="G8" i="13"/>
  <c r="H155" i="13" l="1"/>
  <c r="I73" i="13" l="1"/>
  <c r="L73" i="13"/>
  <c r="M73" i="13" s="1"/>
  <c r="L72" i="13"/>
  <c r="M72" i="13" s="1"/>
  <c r="L71" i="13"/>
  <c r="M71" i="13" s="1"/>
  <c r="L70" i="13"/>
  <c r="M70" i="13" s="1"/>
  <c r="L68" i="13"/>
  <c r="M68" i="13" s="1"/>
  <c r="L67" i="13"/>
  <c r="M67" i="13" s="1"/>
  <c r="L69" i="13" l="1"/>
  <c r="M69" i="13" s="1"/>
  <c r="L90" i="13"/>
  <c r="M90" i="13" s="1"/>
  <c r="H89" i="13"/>
  <c r="L89" i="13"/>
  <c r="M89" i="13" s="1"/>
  <c r="L88" i="13"/>
  <c r="M88" i="13" s="1"/>
  <c r="L87" i="13"/>
  <c r="M87" i="13" s="1"/>
  <c r="L86" i="13"/>
  <c r="M86" i="13" s="1"/>
  <c r="L85" i="13"/>
  <c r="M85" i="13" s="1"/>
  <c r="L84" i="13"/>
  <c r="M84" i="13" s="1"/>
  <c r="H84" i="13"/>
  <c r="L83" i="13"/>
  <c r="M83" i="13" s="1"/>
  <c r="L111" i="13" l="1"/>
  <c r="M111" i="13" s="1"/>
  <c r="L110" i="13"/>
  <c r="M110" i="13" s="1"/>
  <c r="L109" i="13"/>
  <c r="M109" i="13" s="1"/>
  <c r="L106" i="13"/>
  <c r="M106" i="13" s="1"/>
  <c r="L105" i="13"/>
  <c r="M105" i="13" s="1"/>
  <c r="L104" i="13"/>
  <c r="M104" i="13" s="1"/>
  <c r="I99" i="13"/>
  <c r="H99" i="13"/>
  <c r="L99" i="13"/>
  <c r="M99" i="13" s="1"/>
  <c r="I98" i="13"/>
  <c r="L98" i="13"/>
  <c r="M98" i="13" s="1"/>
  <c r="L97" i="13"/>
  <c r="M97" i="13" s="1"/>
  <c r="M96" i="13"/>
  <c r="L96" i="13"/>
  <c r="I95" i="13"/>
  <c r="L94" i="13"/>
  <c r="M94" i="13" s="1"/>
  <c r="L93" i="13"/>
  <c r="M93" i="13" s="1"/>
  <c r="I92" i="13"/>
  <c r="L91" i="13"/>
  <c r="M91" i="13" s="1"/>
  <c r="L107" i="13" l="1"/>
  <c r="M107" i="13" s="1"/>
  <c r="L108" i="13"/>
  <c r="M108" i="13" s="1"/>
  <c r="L92" i="13"/>
  <c r="M92" i="13" s="1"/>
  <c r="L95" i="13"/>
  <c r="M95" i="13" s="1"/>
  <c r="I41" i="13"/>
  <c r="G178" i="13" l="1"/>
  <c r="E178" i="13"/>
  <c r="L66" i="13" l="1"/>
  <c r="M66" i="13" s="1"/>
  <c r="L32" i="13"/>
  <c r="M32" i="13" s="1"/>
  <c r="E25" i="13"/>
  <c r="L24" i="13"/>
  <c r="M24" i="13" s="1"/>
  <c r="L154" i="13" l="1"/>
  <c r="M154" i="13" s="1"/>
  <c r="F25" i="13"/>
  <c r="F50" i="13" l="1"/>
  <c r="F75" i="13" s="1"/>
  <c r="F100" i="13" s="1"/>
  <c r="F125" i="13" s="1"/>
  <c r="F150" i="13" s="1"/>
  <c r="F170" i="13" s="1"/>
  <c r="F178" i="13"/>
  <c r="G25" i="13" l="1"/>
  <c r="L157" i="13" l="1"/>
  <c r="L158" i="13"/>
  <c r="L160" i="13"/>
  <c r="L161" i="13"/>
  <c r="L162" i="13"/>
  <c r="L165" i="13"/>
  <c r="L163" i="13"/>
  <c r="L167" i="13"/>
  <c r="L168" i="13"/>
  <c r="L169" i="13"/>
  <c r="M169" i="13" s="1"/>
  <c r="L138" i="13"/>
  <c r="L139" i="13"/>
  <c r="M139" i="13" s="1"/>
  <c r="L140" i="13"/>
  <c r="L141" i="13"/>
  <c r="L142" i="13"/>
  <c r="L143" i="13"/>
  <c r="L144" i="13"/>
  <c r="L145" i="13"/>
  <c r="L148" i="13"/>
  <c r="L115" i="13"/>
  <c r="L81" i="13"/>
  <c r="L74" i="13"/>
  <c r="L79" i="13"/>
  <c r="L56" i="13"/>
  <c r="L60" i="13"/>
  <c r="L61" i="13"/>
  <c r="L64" i="13"/>
  <c r="L55" i="13"/>
  <c r="L31" i="13"/>
  <c r="L33" i="13"/>
  <c r="L34" i="13"/>
  <c r="L37" i="13"/>
  <c r="L38" i="13"/>
  <c r="L41" i="13"/>
  <c r="L42" i="13"/>
  <c r="L43" i="13"/>
  <c r="L48" i="13"/>
  <c r="L11" i="13"/>
  <c r="L18" i="13"/>
  <c r="L22" i="13"/>
  <c r="L23" i="13"/>
  <c r="K25" i="13"/>
  <c r="K50" i="13" s="1"/>
  <c r="H137" i="13" l="1"/>
  <c r="H62" i="13"/>
  <c r="M163" i="13" l="1"/>
  <c r="C60" i="14" l="1"/>
  <c r="C58" i="14"/>
  <c r="H45" i="13"/>
  <c r="M56" i="13"/>
  <c r="M167" i="13"/>
  <c r="M142" i="13"/>
  <c r="M138" i="13"/>
  <c r="L136" i="13"/>
  <c r="M136" i="13" s="1"/>
  <c r="L133" i="13"/>
  <c r="M133" i="13" s="1"/>
  <c r="M79" i="13"/>
  <c r="M64" i="13"/>
  <c r="M60" i="13"/>
  <c r="M43" i="13"/>
  <c r="M34" i="13"/>
  <c r="M160" i="13"/>
  <c r="M140" i="13"/>
  <c r="L35" i="13"/>
  <c r="M35" i="13" s="1"/>
  <c r="M23" i="13"/>
  <c r="G9" i="15"/>
  <c r="M168" i="13"/>
  <c r="M141" i="13"/>
  <c r="M61" i="13"/>
  <c r="M157" i="13"/>
  <c r="M161" i="13"/>
  <c r="M74" i="13"/>
  <c r="M165" i="13"/>
  <c r="M38" i="13"/>
  <c r="L57" i="13"/>
  <c r="M57" i="13" s="1"/>
  <c r="H156" i="13"/>
  <c r="L121" i="13"/>
  <c r="M121" i="13" s="1"/>
  <c r="H17" i="13"/>
  <c r="D58" i="14"/>
  <c r="L116" i="13"/>
  <c r="L123" i="13"/>
  <c r="M123" i="13" s="1"/>
  <c r="G10" i="15"/>
  <c r="M48" i="13"/>
  <c r="J49" i="13"/>
  <c r="L159" i="13"/>
  <c r="I47" i="13"/>
  <c r="L47" i="13" s="1"/>
  <c r="L19" i="13"/>
  <c r="M19" i="13" s="1"/>
  <c r="L166" i="13"/>
  <c r="M166" i="13" s="1"/>
  <c r="I21" i="15"/>
  <c r="H39" i="13"/>
  <c r="H118" i="13"/>
  <c r="H46" i="13"/>
  <c r="H40" i="13"/>
  <c r="M148" i="13"/>
  <c r="M143" i="13"/>
  <c r="M144" i="13"/>
  <c r="M115" i="13"/>
  <c r="M37" i="13"/>
  <c r="M42" i="13"/>
  <c r="M41" i="13"/>
  <c r="M18" i="13"/>
  <c r="M55" i="13"/>
  <c r="M81" i="13"/>
  <c r="M33" i="13"/>
  <c r="M22" i="13"/>
  <c r="M162" i="13"/>
  <c r="L120" i="13"/>
  <c r="M120" i="13" s="1"/>
  <c r="I138" i="15"/>
  <c r="I178" i="15"/>
  <c r="H178" i="15"/>
  <c r="G178" i="15"/>
  <c r="E178" i="15"/>
  <c r="I172" i="15"/>
  <c r="E166" i="15"/>
  <c r="I165" i="15"/>
  <c r="E165" i="15"/>
  <c r="G165" i="15"/>
  <c r="K165" i="15"/>
  <c r="I164" i="15"/>
  <c r="E164" i="15"/>
  <c r="E163" i="15"/>
  <c r="E162" i="15"/>
  <c r="I161" i="15"/>
  <c r="E161" i="15"/>
  <c r="G161" i="15"/>
  <c r="I160" i="15"/>
  <c r="E160" i="15"/>
  <c r="G160" i="15"/>
  <c r="J159" i="15"/>
  <c r="I159" i="15"/>
  <c r="E159" i="15"/>
  <c r="E158" i="15"/>
  <c r="I157" i="15"/>
  <c r="E157" i="15"/>
  <c r="G157" i="15"/>
  <c r="E156" i="15"/>
  <c r="G156" i="15"/>
  <c r="K156" i="15"/>
  <c r="E155" i="15"/>
  <c r="G155" i="15"/>
  <c r="K155" i="15"/>
  <c r="J150" i="15"/>
  <c r="I150" i="15"/>
  <c r="E150" i="15"/>
  <c r="E149" i="15"/>
  <c r="E148" i="15"/>
  <c r="E147" i="15"/>
  <c r="I146" i="15"/>
  <c r="E146" i="15"/>
  <c r="G146" i="15"/>
  <c r="G145" i="15"/>
  <c r="K145" i="15"/>
  <c r="L145" i="15"/>
  <c r="E144" i="15"/>
  <c r="I143" i="15"/>
  <c r="E143" i="15"/>
  <c r="I142" i="15"/>
  <c r="E142" i="15"/>
  <c r="I141" i="15"/>
  <c r="E141" i="15"/>
  <c r="G141" i="15"/>
  <c r="K141" i="15"/>
  <c r="E140" i="15"/>
  <c r="E139" i="15"/>
  <c r="G139" i="15"/>
  <c r="K139" i="15"/>
  <c r="L139" i="15"/>
  <c r="E138" i="15"/>
  <c r="J137" i="15"/>
  <c r="I137" i="15"/>
  <c r="E137" i="15"/>
  <c r="G137" i="15"/>
  <c r="K137" i="15"/>
  <c r="E136" i="15"/>
  <c r="I135" i="15"/>
  <c r="E135" i="15"/>
  <c r="I134" i="15"/>
  <c r="E134" i="15"/>
  <c r="E133" i="15"/>
  <c r="I132" i="15"/>
  <c r="E132" i="15"/>
  <c r="G132" i="15"/>
  <c r="E131" i="15"/>
  <c r="E130" i="15"/>
  <c r="G130" i="15"/>
  <c r="K130" i="15"/>
  <c r="L130" i="15"/>
  <c r="I125" i="15"/>
  <c r="G125" i="15"/>
  <c r="K125" i="15"/>
  <c r="L125" i="15"/>
  <c r="I124" i="15"/>
  <c r="E124" i="15"/>
  <c r="J123" i="15"/>
  <c r="I123" i="15"/>
  <c r="E123" i="15"/>
  <c r="G123" i="15"/>
  <c r="I122" i="15"/>
  <c r="G122" i="15"/>
  <c r="E121" i="15"/>
  <c r="G121" i="15"/>
  <c r="K121" i="15"/>
  <c r="L121" i="15"/>
  <c r="G120" i="15"/>
  <c r="K120" i="15"/>
  <c r="L120" i="15"/>
  <c r="E119" i="15"/>
  <c r="I118" i="15"/>
  <c r="E118" i="15"/>
  <c r="I117" i="15"/>
  <c r="E117" i="15"/>
  <c r="I116" i="15"/>
  <c r="E116" i="15"/>
  <c r="I115" i="15"/>
  <c r="E115" i="15"/>
  <c r="G115" i="15"/>
  <c r="K115" i="15"/>
  <c r="J114" i="15"/>
  <c r="I114" i="15"/>
  <c r="E114" i="15"/>
  <c r="I113" i="15"/>
  <c r="E113" i="15"/>
  <c r="E112" i="15"/>
  <c r="J111" i="15"/>
  <c r="I111" i="15"/>
  <c r="G111" i="15"/>
  <c r="E111" i="15"/>
  <c r="J110" i="15"/>
  <c r="I110" i="15"/>
  <c r="E110" i="15"/>
  <c r="E109" i="15"/>
  <c r="I108" i="15"/>
  <c r="E108" i="15"/>
  <c r="G108" i="15"/>
  <c r="I107" i="15"/>
  <c r="E107" i="15"/>
  <c r="E106" i="15"/>
  <c r="E105" i="15"/>
  <c r="D101" i="15"/>
  <c r="E100" i="15"/>
  <c r="G100" i="15"/>
  <c r="K100" i="15"/>
  <c r="L100" i="15"/>
  <c r="I99" i="15"/>
  <c r="E99" i="15"/>
  <c r="E98" i="15"/>
  <c r="E97" i="15"/>
  <c r="E96" i="15"/>
  <c r="E95" i="15"/>
  <c r="I94" i="15"/>
  <c r="E94" i="15"/>
  <c r="E93" i="15"/>
  <c r="I92" i="15"/>
  <c r="E92" i="15"/>
  <c r="G92" i="15"/>
  <c r="E91" i="15"/>
  <c r="G91" i="15"/>
  <c r="K91" i="15"/>
  <c r="E90" i="15"/>
  <c r="G90" i="15"/>
  <c r="K90" i="15"/>
  <c r="E89" i="15"/>
  <c r="G89" i="15"/>
  <c r="K89" i="15"/>
  <c r="E88" i="15"/>
  <c r="G88" i="15"/>
  <c r="K88" i="15"/>
  <c r="I87" i="15"/>
  <c r="E87" i="15"/>
  <c r="E86" i="15"/>
  <c r="E85" i="15"/>
  <c r="E84" i="15"/>
  <c r="E83" i="15"/>
  <c r="I82" i="15"/>
  <c r="E82" i="15"/>
  <c r="I81" i="15"/>
  <c r="E81" i="15"/>
  <c r="G81" i="15"/>
  <c r="I80" i="15"/>
  <c r="G80" i="15"/>
  <c r="D76" i="15"/>
  <c r="I75" i="15"/>
  <c r="E75" i="15"/>
  <c r="G75" i="15"/>
  <c r="K75" i="15"/>
  <c r="L75" i="15"/>
  <c r="J74" i="15"/>
  <c r="I74" i="15"/>
  <c r="E74" i="15"/>
  <c r="E73" i="15"/>
  <c r="J72" i="15"/>
  <c r="I72" i="15"/>
  <c r="E72" i="15"/>
  <c r="G72" i="15"/>
  <c r="I71" i="15"/>
  <c r="E71" i="15"/>
  <c r="G71" i="15"/>
  <c r="K71" i="15"/>
  <c r="I70" i="15"/>
  <c r="E70" i="15"/>
  <c r="J69" i="15"/>
  <c r="I69" i="15"/>
  <c r="E69" i="15"/>
  <c r="G69" i="15"/>
  <c r="K69" i="15"/>
  <c r="L69" i="15"/>
  <c r="I68" i="15"/>
  <c r="E68" i="15"/>
  <c r="I67" i="15"/>
  <c r="E67" i="15"/>
  <c r="I66" i="15"/>
  <c r="E66" i="15"/>
  <c r="G66" i="15"/>
  <c r="I65" i="15"/>
  <c r="E65" i="15"/>
  <c r="E64" i="15"/>
  <c r="E63" i="15"/>
  <c r="I62" i="15"/>
  <c r="E62" i="15"/>
  <c r="G62" i="15"/>
  <c r="K62" i="15"/>
  <c r="I61" i="15"/>
  <c r="E61" i="15"/>
  <c r="G61" i="15"/>
  <c r="E60" i="15"/>
  <c r="G60" i="15"/>
  <c r="K60" i="15"/>
  <c r="L60" i="15"/>
  <c r="E59" i="15"/>
  <c r="G59" i="15"/>
  <c r="K59" i="15"/>
  <c r="L59" i="15"/>
  <c r="G58" i="15"/>
  <c r="K58" i="15"/>
  <c r="L58" i="15"/>
  <c r="E57" i="15"/>
  <c r="I56" i="15"/>
  <c r="E56" i="15"/>
  <c r="G56" i="15"/>
  <c r="E55" i="15"/>
  <c r="G55" i="15"/>
  <c r="K55" i="15"/>
  <c r="L55" i="15"/>
  <c r="E49" i="15"/>
  <c r="G49" i="15"/>
  <c r="K49" i="15"/>
  <c r="L49" i="15"/>
  <c r="J48" i="15"/>
  <c r="I48" i="15"/>
  <c r="E48" i="15"/>
  <c r="I47" i="15"/>
  <c r="E47" i="15"/>
  <c r="I46" i="15"/>
  <c r="E46" i="15"/>
  <c r="I45" i="15"/>
  <c r="E45" i="15"/>
  <c r="E44" i="15"/>
  <c r="I43" i="15"/>
  <c r="E43" i="15"/>
  <c r="G43" i="15"/>
  <c r="K43" i="15"/>
  <c r="E42" i="15"/>
  <c r="G42" i="15"/>
  <c r="K42" i="15"/>
  <c r="I41" i="15"/>
  <c r="E41" i="15"/>
  <c r="I40" i="15"/>
  <c r="E40" i="15"/>
  <c r="G40" i="15"/>
  <c r="K40" i="15"/>
  <c r="L40" i="15"/>
  <c r="E39" i="15"/>
  <c r="G39" i="15"/>
  <c r="K39" i="15"/>
  <c r="L39" i="15"/>
  <c r="I38" i="15"/>
  <c r="E38" i="15"/>
  <c r="G38" i="15"/>
  <c r="K38" i="15"/>
  <c r="L38" i="15"/>
  <c r="I37" i="15"/>
  <c r="E37" i="15"/>
  <c r="G37" i="15"/>
  <c r="I36" i="15"/>
  <c r="E36" i="15"/>
  <c r="G36" i="15"/>
  <c r="K36" i="15"/>
  <c r="E35" i="15"/>
  <c r="G35" i="15"/>
  <c r="K35" i="15"/>
  <c r="L35" i="15"/>
  <c r="E34" i="15"/>
  <c r="G34" i="15"/>
  <c r="K34" i="15"/>
  <c r="L34" i="15"/>
  <c r="I33" i="15"/>
  <c r="E33" i="15"/>
  <c r="E32" i="15"/>
  <c r="G32" i="15"/>
  <c r="K32" i="15"/>
  <c r="L32" i="15"/>
  <c r="E31" i="15"/>
  <c r="G31" i="15"/>
  <c r="K31" i="15"/>
  <c r="L31" i="15"/>
  <c r="G30" i="15"/>
  <c r="K30" i="15"/>
  <c r="L30" i="15"/>
  <c r="F19" i="15"/>
  <c r="F51" i="15"/>
  <c r="F76" i="15"/>
  <c r="F101" i="15"/>
  <c r="F126" i="15"/>
  <c r="F151" i="15"/>
  <c r="F170" i="15"/>
  <c r="G18" i="15"/>
  <c r="K18" i="15"/>
  <c r="G16" i="15"/>
  <c r="G13" i="15"/>
  <c r="J19" i="15"/>
  <c r="J51" i="15"/>
  <c r="J76" i="15"/>
  <c r="J101" i="15"/>
  <c r="J126" i="15"/>
  <c r="J151" i="15"/>
  <c r="J170" i="15"/>
  <c r="G12" i="15"/>
  <c r="K12" i="15"/>
  <c r="G11" i="15"/>
  <c r="K11" i="15"/>
  <c r="L11" i="15"/>
  <c r="H19" i="15"/>
  <c r="H51" i="15"/>
  <c r="H76" i="15"/>
  <c r="H101" i="15"/>
  <c r="H126" i="15"/>
  <c r="H151" i="15"/>
  <c r="H170" i="15"/>
  <c r="E19" i="15"/>
  <c r="G29" i="12"/>
  <c r="G115" i="12"/>
  <c r="G156" i="12"/>
  <c r="G157" i="12"/>
  <c r="G158" i="12"/>
  <c r="G159" i="12"/>
  <c r="G160" i="12"/>
  <c r="G161" i="12"/>
  <c r="G162" i="12"/>
  <c r="G163" i="12"/>
  <c r="G164" i="12"/>
  <c r="G155" i="12"/>
  <c r="G154" i="12"/>
  <c r="G139" i="12"/>
  <c r="G134" i="12"/>
  <c r="G135" i="12"/>
  <c r="G137" i="12"/>
  <c r="G140" i="12"/>
  <c r="G141" i="12"/>
  <c r="G142" i="12"/>
  <c r="G143" i="12"/>
  <c r="G145" i="12"/>
  <c r="G146" i="12"/>
  <c r="G148" i="12"/>
  <c r="G149" i="12"/>
  <c r="G131" i="12"/>
  <c r="G130" i="12"/>
  <c r="G124" i="12"/>
  <c r="G113" i="12"/>
  <c r="G114" i="12"/>
  <c r="G116" i="12"/>
  <c r="G117" i="12"/>
  <c r="G120" i="12"/>
  <c r="G121" i="12"/>
  <c r="G122" i="12"/>
  <c r="G123" i="12"/>
  <c r="G112" i="12"/>
  <c r="G106" i="12"/>
  <c r="G107" i="12"/>
  <c r="G108" i="12"/>
  <c r="G109" i="12"/>
  <c r="G110" i="12"/>
  <c r="G86" i="12"/>
  <c r="G87" i="12"/>
  <c r="G88" i="12"/>
  <c r="G89" i="12"/>
  <c r="G90" i="12"/>
  <c r="G91" i="12"/>
  <c r="G92" i="12"/>
  <c r="G93" i="12"/>
  <c r="G94" i="12"/>
  <c r="G95" i="12"/>
  <c r="G98" i="12"/>
  <c r="G85" i="12"/>
  <c r="G59" i="12"/>
  <c r="G60" i="12"/>
  <c r="G61" i="12"/>
  <c r="G64" i="12"/>
  <c r="G65" i="12"/>
  <c r="G66" i="12"/>
  <c r="G67" i="12"/>
  <c r="G68" i="12"/>
  <c r="G69" i="12"/>
  <c r="G70" i="12"/>
  <c r="G71" i="12"/>
  <c r="G72" i="12"/>
  <c r="G73" i="12"/>
  <c r="G74" i="12"/>
  <c r="G58" i="12"/>
  <c r="G55" i="12"/>
  <c r="G31" i="12"/>
  <c r="G32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30" i="12"/>
  <c r="G12" i="12"/>
  <c r="G14" i="12"/>
  <c r="G15" i="12"/>
  <c r="G17" i="12"/>
  <c r="G18" i="12"/>
  <c r="G19" i="12"/>
  <c r="G20" i="12"/>
  <c r="G21" i="12"/>
  <c r="G22" i="12"/>
  <c r="G23" i="12"/>
  <c r="G10" i="12"/>
  <c r="G9" i="12"/>
  <c r="I178" i="13"/>
  <c r="H178" i="13"/>
  <c r="I172" i="13"/>
  <c r="I132" i="13"/>
  <c r="L147" i="13"/>
  <c r="M147" i="13" s="1"/>
  <c r="L146" i="13"/>
  <c r="M146" i="13" s="1"/>
  <c r="L124" i="13"/>
  <c r="M124" i="13" s="1"/>
  <c r="L118" i="13"/>
  <c r="L164" i="13"/>
  <c r="L134" i="13"/>
  <c r="L114" i="13"/>
  <c r="L112" i="13"/>
  <c r="M112" i="13" s="1"/>
  <c r="L36" i="13"/>
  <c r="M36" i="13" s="1"/>
  <c r="L14" i="13"/>
  <c r="M14" i="13" s="1"/>
  <c r="L46" i="13"/>
  <c r="M46" i="13" s="1"/>
  <c r="I49" i="13"/>
  <c r="L29" i="13"/>
  <c r="M29" i="13" s="1"/>
  <c r="L44" i="13"/>
  <c r="M44" i="13" s="1"/>
  <c r="L62" i="13"/>
  <c r="L65" i="13"/>
  <c r="L54" i="13"/>
  <c r="M54" i="13" s="1"/>
  <c r="L80" i="13"/>
  <c r="M80" i="13" s="1"/>
  <c r="M31" i="13"/>
  <c r="L20" i="13"/>
  <c r="J119" i="13"/>
  <c r="I119" i="13"/>
  <c r="J25" i="13"/>
  <c r="I13" i="13"/>
  <c r="K154" i="12"/>
  <c r="L154" i="12"/>
  <c r="K129" i="12"/>
  <c r="L129" i="12"/>
  <c r="K33" i="12"/>
  <c r="L33" i="12"/>
  <c r="K162" i="12"/>
  <c r="L162" i="12"/>
  <c r="K148" i="12"/>
  <c r="L148" i="12"/>
  <c r="K138" i="12"/>
  <c r="L138" i="12"/>
  <c r="K132" i="12"/>
  <c r="L132" i="12"/>
  <c r="K99" i="12"/>
  <c r="L99" i="12"/>
  <c r="K97" i="12"/>
  <c r="L97" i="12"/>
  <c r="K96" i="12"/>
  <c r="L96" i="12"/>
  <c r="K84" i="12"/>
  <c r="L84" i="12"/>
  <c r="K83" i="12"/>
  <c r="L83" i="12"/>
  <c r="K63" i="12"/>
  <c r="L63" i="12"/>
  <c r="K54" i="12"/>
  <c r="L54" i="12"/>
  <c r="F25" i="12"/>
  <c r="F50" i="12"/>
  <c r="F75" i="12"/>
  <c r="F100" i="12"/>
  <c r="F125" i="12"/>
  <c r="F150" i="12"/>
  <c r="F169" i="12"/>
  <c r="G11" i="12"/>
  <c r="G24" i="12"/>
  <c r="K40" i="12"/>
  <c r="L40" i="12"/>
  <c r="G56" i="12"/>
  <c r="K56" i="12"/>
  <c r="L56" i="12"/>
  <c r="G79" i="12"/>
  <c r="G80" i="12"/>
  <c r="G81" i="12"/>
  <c r="G82" i="12"/>
  <c r="K91" i="12"/>
  <c r="L91" i="12"/>
  <c r="G105" i="12"/>
  <c r="K105" i="12"/>
  <c r="L105" i="12"/>
  <c r="K110" i="12"/>
  <c r="L110" i="12"/>
  <c r="K114" i="12"/>
  <c r="L114" i="12"/>
  <c r="G133" i="12"/>
  <c r="K164" i="12"/>
  <c r="L164" i="12"/>
  <c r="K17" i="12"/>
  <c r="L17" i="12"/>
  <c r="K18" i="12"/>
  <c r="L18" i="12"/>
  <c r="K21" i="12"/>
  <c r="L21" i="12"/>
  <c r="K23" i="12"/>
  <c r="L23" i="12"/>
  <c r="K35" i="12"/>
  <c r="L35" i="12"/>
  <c r="K37" i="12"/>
  <c r="L37" i="12"/>
  <c r="K44" i="12"/>
  <c r="L44" i="12"/>
  <c r="K46" i="12"/>
  <c r="L46" i="12"/>
  <c r="K55" i="12"/>
  <c r="L55" i="12"/>
  <c r="K61" i="12"/>
  <c r="L61" i="12"/>
  <c r="K64" i="12"/>
  <c r="L64" i="12"/>
  <c r="K65" i="12"/>
  <c r="L65" i="12"/>
  <c r="K66" i="12"/>
  <c r="L66" i="12"/>
  <c r="K68" i="12"/>
  <c r="L68" i="12"/>
  <c r="K70" i="12"/>
  <c r="L70" i="12"/>
  <c r="K74" i="12"/>
  <c r="L74" i="12"/>
  <c r="K140" i="12"/>
  <c r="L140" i="12"/>
  <c r="K156" i="12"/>
  <c r="L156" i="12"/>
  <c r="K19" i="12"/>
  <c r="L19" i="12"/>
  <c r="K122" i="12"/>
  <c r="L122" i="12"/>
  <c r="K9" i="12"/>
  <c r="K10" i="12"/>
  <c r="L10" i="12"/>
  <c r="K11" i="12"/>
  <c r="K12" i="12"/>
  <c r="L12" i="12"/>
  <c r="K14" i="12"/>
  <c r="K15" i="12"/>
  <c r="L15" i="12"/>
  <c r="K16" i="12"/>
  <c r="K20" i="12"/>
  <c r="L20" i="12"/>
  <c r="K22" i="12"/>
  <c r="K24" i="12"/>
  <c r="L24" i="12"/>
  <c r="K29" i="12"/>
  <c r="K30" i="12"/>
  <c r="K31" i="12"/>
  <c r="K34" i="12"/>
  <c r="K36" i="12"/>
  <c r="L36" i="12"/>
  <c r="K38" i="12"/>
  <c r="L38" i="12"/>
  <c r="K39" i="12"/>
  <c r="K41" i="12"/>
  <c r="L41" i="12"/>
  <c r="K42" i="12"/>
  <c r="K43" i="12"/>
  <c r="L43" i="12"/>
  <c r="K45" i="12"/>
  <c r="K48" i="12"/>
  <c r="L48" i="12"/>
  <c r="K57" i="12"/>
  <c r="L57" i="12"/>
  <c r="K58" i="12"/>
  <c r="K59" i="12"/>
  <c r="L59" i="12"/>
  <c r="K60" i="12"/>
  <c r="K62" i="12"/>
  <c r="L62" i="12"/>
  <c r="K67" i="12"/>
  <c r="L67" i="12"/>
  <c r="K69" i="12"/>
  <c r="K71" i="12"/>
  <c r="K72" i="12"/>
  <c r="K79" i="12"/>
  <c r="K82" i="12"/>
  <c r="K85" i="12"/>
  <c r="K86" i="12"/>
  <c r="K87" i="12"/>
  <c r="K88" i="12"/>
  <c r="K89" i="12"/>
  <c r="K90" i="12"/>
  <c r="K92" i="12"/>
  <c r="K93" i="12"/>
  <c r="K94" i="12"/>
  <c r="K95" i="12"/>
  <c r="K98" i="12"/>
  <c r="K104" i="12"/>
  <c r="K106" i="12"/>
  <c r="K107" i="12"/>
  <c r="K108" i="12"/>
  <c r="K109" i="12"/>
  <c r="K111" i="12"/>
  <c r="K112" i="12"/>
  <c r="K113" i="12"/>
  <c r="K115" i="12"/>
  <c r="K116" i="12"/>
  <c r="L116" i="12"/>
  <c r="K117" i="12"/>
  <c r="K118" i="12"/>
  <c r="L118" i="12"/>
  <c r="K120" i="12"/>
  <c r="K121" i="12"/>
  <c r="K123" i="12"/>
  <c r="K124" i="12"/>
  <c r="K131" i="12"/>
  <c r="K133" i="12"/>
  <c r="K135" i="12"/>
  <c r="K136" i="12"/>
  <c r="K137" i="12"/>
  <c r="K139" i="12"/>
  <c r="K141" i="12"/>
  <c r="K143" i="12"/>
  <c r="K144" i="12"/>
  <c r="K145" i="12"/>
  <c r="K146" i="12"/>
  <c r="K155" i="12"/>
  <c r="K157" i="12"/>
  <c r="K158" i="12"/>
  <c r="K159" i="12"/>
  <c r="K160" i="12"/>
  <c r="K161" i="12"/>
  <c r="K163" i="12"/>
  <c r="K165" i="12"/>
  <c r="L9" i="12"/>
  <c r="L11" i="12"/>
  <c r="L14" i="12"/>
  <c r="L16" i="12"/>
  <c r="L22" i="12"/>
  <c r="L29" i="12"/>
  <c r="L30" i="12"/>
  <c r="L31" i="12"/>
  <c r="L34" i="12"/>
  <c r="L39" i="12"/>
  <c r="L42" i="12"/>
  <c r="L45" i="12"/>
  <c r="L58" i="12"/>
  <c r="L60" i="12"/>
  <c r="L69" i="12"/>
  <c r="L71" i="12"/>
  <c r="L72" i="12"/>
  <c r="L79" i="12"/>
  <c r="L82" i="12"/>
  <c r="L85" i="12"/>
  <c r="L86" i="12"/>
  <c r="L87" i="12"/>
  <c r="L88" i="12"/>
  <c r="L89" i="12"/>
  <c r="L90" i="12"/>
  <c r="L92" i="12"/>
  <c r="L93" i="12"/>
  <c r="L94" i="12"/>
  <c r="L95" i="12"/>
  <c r="L98" i="12"/>
  <c r="L104" i="12"/>
  <c r="L106" i="12"/>
  <c r="L107" i="12"/>
  <c r="L108" i="12"/>
  <c r="L109" i="12"/>
  <c r="L111" i="12"/>
  <c r="L112" i="12"/>
  <c r="L113" i="12"/>
  <c r="L115" i="12"/>
  <c r="L117" i="12"/>
  <c r="L120" i="12"/>
  <c r="L121" i="12"/>
  <c r="L123" i="12"/>
  <c r="L124" i="12"/>
  <c r="L131" i="12"/>
  <c r="L133" i="12"/>
  <c r="L135" i="12"/>
  <c r="L136" i="12"/>
  <c r="L137" i="12"/>
  <c r="L139" i="12"/>
  <c r="L141" i="12"/>
  <c r="L143" i="12"/>
  <c r="L144" i="12"/>
  <c r="L145" i="12"/>
  <c r="L146" i="12"/>
  <c r="L155" i="12"/>
  <c r="L157" i="12"/>
  <c r="L158" i="12"/>
  <c r="L159" i="12"/>
  <c r="L160" i="12"/>
  <c r="L161" i="12"/>
  <c r="L163" i="12"/>
  <c r="L165" i="12"/>
  <c r="E25" i="12"/>
  <c r="E50" i="12"/>
  <c r="E75" i="12"/>
  <c r="E100" i="12"/>
  <c r="E125" i="12"/>
  <c r="E150" i="12"/>
  <c r="D75" i="12"/>
  <c r="D100" i="12"/>
  <c r="I171" i="12"/>
  <c r="G25" i="12"/>
  <c r="K13" i="12"/>
  <c r="L13" i="12"/>
  <c r="K37" i="15"/>
  <c r="L37" i="15"/>
  <c r="K61" i="15"/>
  <c r="L61" i="15"/>
  <c r="K72" i="15"/>
  <c r="K80" i="15"/>
  <c r="L80" i="15"/>
  <c r="K81" i="15"/>
  <c r="K160" i="15"/>
  <c r="L160" i="15"/>
  <c r="K123" i="15"/>
  <c r="E51" i="15"/>
  <c r="E76" i="15"/>
  <c r="E101" i="15"/>
  <c r="E126" i="15"/>
  <c r="E151" i="15"/>
  <c r="E170" i="15"/>
  <c r="G131" i="15"/>
  <c r="K131" i="15"/>
  <c r="L131" i="15"/>
  <c r="G136" i="15"/>
  <c r="K136" i="15"/>
  <c r="L136" i="15"/>
  <c r="L141" i="15"/>
  <c r="K13" i="15"/>
  <c r="K16" i="15"/>
  <c r="K56" i="15"/>
  <c r="K66" i="15"/>
  <c r="K146" i="15"/>
  <c r="L146" i="15"/>
  <c r="K157" i="15"/>
  <c r="K161" i="15"/>
  <c r="I19" i="15"/>
  <c r="I51" i="15"/>
  <c r="I76" i="15"/>
  <c r="I101" i="15"/>
  <c r="I126" i="15"/>
  <c r="I151" i="15"/>
  <c r="I170" i="15"/>
  <c r="L43" i="15"/>
  <c r="L56" i="15"/>
  <c r="L66" i="15"/>
  <c r="K92" i="15"/>
  <c r="L92" i="15"/>
  <c r="K108" i="15"/>
  <c r="L108" i="15"/>
  <c r="K111" i="15"/>
  <c r="L111" i="15"/>
  <c r="K122" i="15"/>
  <c r="L122" i="15"/>
  <c r="K132" i="15"/>
  <c r="L132" i="15"/>
  <c r="L161" i="15"/>
  <c r="L62" i="15"/>
  <c r="L72" i="15"/>
  <c r="L81" i="15"/>
  <c r="L165" i="15"/>
  <c r="L115" i="15"/>
  <c r="L123" i="15"/>
  <c r="L137" i="15"/>
  <c r="L157" i="15"/>
  <c r="K10" i="15"/>
  <c r="L10" i="15"/>
  <c r="G14" i="15"/>
  <c r="K14" i="15"/>
  <c r="G15" i="15"/>
  <c r="K15" i="15"/>
  <c r="G17" i="15"/>
  <c r="K17" i="15"/>
  <c r="G33" i="15"/>
  <c r="K33" i="15"/>
  <c r="L33" i="15"/>
  <c r="G41" i="15"/>
  <c r="K41" i="15"/>
  <c r="L41" i="15"/>
  <c r="G44" i="15"/>
  <c r="K44" i="15"/>
  <c r="L44" i="15"/>
  <c r="G45" i="15"/>
  <c r="K45" i="15"/>
  <c r="L45" i="15"/>
  <c r="G46" i="15"/>
  <c r="K46" i="15"/>
  <c r="L46" i="15"/>
  <c r="G47" i="15"/>
  <c r="K47" i="15"/>
  <c r="L47" i="15"/>
  <c r="G48" i="15"/>
  <c r="K48" i="15"/>
  <c r="L48" i="15"/>
  <c r="G57" i="15"/>
  <c r="K57" i="15"/>
  <c r="L57" i="15"/>
  <c r="G63" i="15"/>
  <c r="K63" i="15"/>
  <c r="L63" i="15"/>
  <c r="G64" i="15"/>
  <c r="K64" i="15"/>
  <c r="L64" i="15"/>
  <c r="G65" i="15"/>
  <c r="K65" i="15"/>
  <c r="L65" i="15"/>
  <c r="G67" i="15"/>
  <c r="K67" i="15"/>
  <c r="L67" i="15"/>
  <c r="G68" i="15"/>
  <c r="K68" i="15"/>
  <c r="L68" i="15"/>
  <c r="G70" i="15"/>
  <c r="K70" i="15"/>
  <c r="L70" i="15"/>
  <c r="G73" i="15"/>
  <c r="K73" i="15"/>
  <c r="L73" i="15"/>
  <c r="G74" i="15"/>
  <c r="K74" i="15"/>
  <c r="L74" i="15"/>
  <c r="G82" i="15"/>
  <c r="K82" i="15"/>
  <c r="L82" i="15"/>
  <c r="G83" i="15"/>
  <c r="K83" i="15"/>
  <c r="L83" i="15"/>
  <c r="G84" i="15"/>
  <c r="K84" i="15"/>
  <c r="L84" i="15"/>
  <c r="G85" i="15"/>
  <c r="K85" i="15"/>
  <c r="L85" i="15"/>
  <c r="G86" i="15"/>
  <c r="K86" i="15"/>
  <c r="L86" i="15"/>
  <c r="G87" i="15"/>
  <c r="K87" i="15"/>
  <c r="L87" i="15"/>
  <c r="G93" i="15"/>
  <c r="K93" i="15"/>
  <c r="L93" i="15"/>
  <c r="G94" i="15"/>
  <c r="K94" i="15"/>
  <c r="L94" i="15"/>
  <c r="G95" i="15"/>
  <c r="K95" i="15"/>
  <c r="L95" i="15"/>
  <c r="G96" i="15"/>
  <c r="K96" i="15"/>
  <c r="L96" i="15"/>
  <c r="G97" i="15"/>
  <c r="K97" i="15"/>
  <c r="L97" i="15"/>
  <c r="G98" i="15"/>
  <c r="K98" i="15"/>
  <c r="L98" i="15"/>
  <c r="G99" i="15"/>
  <c r="K99" i="15"/>
  <c r="L99" i="15"/>
  <c r="G105" i="15"/>
  <c r="K105" i="15"/>
  <c r="L105" i="15"/>
  <c r="G106" i="15"/>
  <c r="K106" i="15"/>
  <c r="L106" i="15"/>
  <c r="G107" i="15"/>
  <c r="K107" i="15"/>
  <c r="L107" i="15"/>
  <c r="G109" i="15"/>
  <c r="K109" i="15"/>
  <c r="L109" i="15"/>
  <c r="G110" i="15"/>
  <c r="K110" i="15"/>
  <c r="L110" i="15"/>
  <c r="G112" i="15"/>
  <c r="K112" i="15"/>
  <c r="L112" i="15"/>
  <c r="G113" i="15"/>
  <c r="K113" i="15"/>
  <c r="L113" i="15"/>
  <c r="G114" i="15"/>
  <c r="K114" i="15"/>
  <c r="L114" i="15"/>
  <c r="G116" i="15"/>
  <c r="K116" i="15"/>
  <c r="L116" i="15"/>
  <c r="G117" i="15"/>
  <c r="K117" i="15"/>
  <c r="L117" i="15"/>
  <c r="G118" i="15"/>
  <c r="K118" i="15"/>
  <c r="L118" i="15"/>
  <c r="G119" i="15"/>
  <c r="K119" i="15"/>
  <c r="L119" i="15"/>
  <c r="G124" i="15"/>
  <c r="K124" i="15"/>
  <c r="L124" i="15"/>
  <c r="G133" i="15"/>
  <c r="K133" i="15"/>
  <c r="L133" i="15"/>
  <c r="G134" i="15"/>
  <c r="K134" i="15"/>
  <c r="L134" i="15"/>
  <c r="G135" i="15"/>
  <c r="K135" i="15"/>
  <c r="L135" i="15"/>
  <c r="G138" i="15"/>
  <c r="K138" i="15"/>
  <c r="L138" i="15"/>
  <c r="G142" i="15"/>
  <c r="K142" i="15"/>
  <c r="L142" i="15"/>
  <c r="G143" i="15"/>
  <c r="K143" i="15"/>
  <c r="L143" i="15"/>
  <c r="G144" i="15"/>
  <c r="K144" i="15"/>
  <c r="L144" i="15"/>
  <c r="G147" i="15"/>
  <c r="K147" i="15"/>
  <c r="L147" i="15"/>
  <c r="G148" i="15"/>
  <c r="K148" i="15"/>
  <c r="L148" i="15"/>
  <c r="G149" i="15"/>
  <c r="K149" i="15"/>
  <c r="L149" i="15"/>
  <c r="G150" i="15"/>
  <c r="K150" i="15"/>
  <c r="L150" i="15"/>
  <c r="G158" i="15"/>
  <c r="K158" i="15"/>
  <c r="L158" i="15"/>
  <c r="G159" i="15"/>
  <c r="K159" i="15"/>
  <c r="L159" i="15"/>
  <c r="G162" i="15"/>
  <c r="K162" i="15"/>
  <c r="L162" i="15"/>
  <c r="G163" i="15"/>
  <c r="K163" i="15"/>
  <c r="L163" i="15"/>
  <c r="G164" i="15"/>
  <c r="K164" i="15"/>
  <c r="L164" i="15"/>
  <c r="G166" i="15"/>
  <c r="K166" i="15"/>
  <c r="L166" i="15"/>
  <c r="K134" i="12"/>
  <c r="L134" i="12"/>
  <c r="H25" i="12"/>
  <c r="H50" i="12"/>
  <c r="H75" i="12"/>
  <c r="H100" i="12"/>
  <c r="H125" i="12"/>
  <c r="H150" i="12"/>
  <c r="H169" i="12"/>
  <c r="E169" i="12"/>
  <c r="K147" i="12"/>
  <c r="L147" i="12"/>
  <c r="G50" i="12"/>
  <c r="G75" i="12"/>
  <c r="G100" i="12"/>
  <c r="G125" i="12"/>
  <c r="G150" i="12"/>
  <c r="G169" i="12"/>
  <c r="K32" i="12"/>
  <c r="L32" i="12"/>
  <c r="K81" i="12"/>
  <c r="L81" i="12"/>
  <c r="J25" i="12"/>
  <c r="J50" i="12"/>
  <c r="K80" i="12"/>
  <c r="L80" i="12"/>
  <c r="K47" i="12"/>
  <c r="L47" i="12"/>
  <c r="K149" i="12"/>
  <c r="L149" i="12"/>
  <c r="K130" i="12"/>
  <c r="L130" i="12"/>
  <c r="K142" i="12"/>
  <c r="L142" i="12"/>
  <c r="I25" i="12"/>
  <c r="I50" i="12"/>
  <c r="I75" i="12"/>
  <c r="I100" i="12"/>
  <c r="I125" i="12"/>
  <c r="I150" i="12"/>
  <c r="I169" i="12"/>
  <c r="K73" i="12"/>
  <c r="L73" i="12"/>
  <c r="K25" i="12"/>
  <c r="K50" i="12"/>
  <c r="K75" i="12"/>
  <c r="K100" i="12"/>
  <c r="K125" i="12"/>
  <c r="K150" i="12"/>
  <c r="K169" i="12"/>
  <c r="J75" i="12"/>
  <c r="J100" i="12"/>
  <c r="J125" i="12"/>
  <c r="J150" i="12"/>
  <c r="J169" i="12"/>
  <c r="L25" i="12"/>
  <c r="L50" i="12"/>
  <c r="L75" i="12"/>
  <c r="L100" i="12"/>
  <c r="L125" i="12"/>
  <c r="L150" i="12"/>
  <c r="L169" i="12"/>
  <c r="K119" i="12"/>
  <c r="L119" i="12"/>
  <c r="G19" i="15"/>
  <c r="G51" i="15"/>
  <c r="G76" i="15"/>
  <c r="G101" i="15"/>
  <c r="G126" i="15"/>
  <c r="K9" i="15"/>
  <c r="K19" i="15"/>
  <c r="K51" i="15"/>
  <c r="K76" i="15"/>
  <c r="K101" i="15"/>
  <c r="K126" i="15"/>
  <c r="L9" i="15"/>
  <c r="L19" i="15"/>
  <c r="C22" i="15"/>
  <c r="E22" i="15"/>
  <c r="C20" i="15"/>
  <c r="C170" i="12"/>
  <c r="C172" i="12"/>
  <c r="E172" i="12"/>
  <c r="L36" i="15"/>
  <c r="L88" i="15"/>
  <c r="L89" i="15"/>
  <c r="L90" i="15"/>
  <c r="L91" i="15"/>
  <c r="G140" i="15"/>
  <c r="K140" i="15"/>
  <c r="L140" i="15"/>
  <c r="L42" i="15"/>
  <c r="L71" i="15"/>
  <c r="L155" i="15"/>
  <c r="L156" i="15"/>
  <c r="K151" i="15"/>
  <c r="K170" i="15"/>
  <c r="L51" i="15"/>
  <c r="L76" i="15"/>
  <c r="L101" i="15"/>
  <c r="L126" i="15"/>
  <c r="L151" i="15"/>
  <c r="L170" i="15"/>
  <c r="G151" i="15"/>
  <c r="G170" i="15"/>
  <c r="C173" i="15"/>
  <c r="E173" i="15"/>
  <c r="C171" i="15"/>
  <c r="M159" i="13"/>
  <c r="M11" i="13"/>
  <c r="M145" i="13"/>
  <c r="M158" i="13"/>
  <c r="E50" i="13"/>
  <c r="E75" i="13" s="1"/>
  <c r="E100" i="13" s="1"/>
  <c r="E125" i="13" s="1"/>
  <c r="E150" i="13" s="1"/>
  <c r="E170" i="13" s="1"/>
  <c r="L39" i="13" l="1"/>
  <c r="M39" i="13" s="1"/>
  <c r="L156" i="13"/>
  <c r="M156" i="13" s="1"/>
  <c r="L155" i="13"/>
  <c r="M155" i="13" s="1"/>
  <c r="L8" i="13"/>
  <c r="I25" i="13"/>
  <c r="I50" i="13" s="1"/>
  <c r="I75" i="13" s="1"/>
  <c r="I100" i="13" s="1"/>
  <c r="I125" i="13" s="1"/>
  <c r="I150" i="13" s="1"/>
  <c r="I170" i="13" s="1"/>
  <c r="L21" i="13"/>
  <c r="M21" i="13" s="1"/>
  <c r="J50" i="13"/>
  <c r="J75" i="13" s="1"/>
  <c r="J100" i="13" s="1"/>
  <c r="J125" i="13" s="1"/>
  <c r="J150" i="13" s="1"/>
  <c r="J170" i="13" s="1"/>
  <c r="L17" i="13"/>
  <c r="M17" i="13" s="1"/>
  <c r="L119" i="13"/>
  <c r="M119" i="13" s="1"/>
  <c r="L30" i="13"/>
  <c r="M30" i="13" s="1"/>
  <c r="L130" i="13"/>
  <c r="M130" i="13" s="1"/>
  <c r="L149" i="13"/>
  <c r="M149" i="13" s="1"/>
  <c r="G50" i="13"/>
  <c r="G75" i="13" s="1"/>
  <c r="G100" i="13" s="1"/>
  <c r="G125" i="13" s="1"/>
  <c r="G150" i="13" s="1"/>
  <c r="L131" i="13"/>
  <c r="M131" i="13" s="1"/>
  <c r="L135" i="13"/>
  <c r="M135" i="13" s="1"/>
  <c r="L12" i="13"/>
  <c r="L40" i="13"/>
  <c r="M40" i="13" s="1"/>
  <c r="L58" i="13"/>
  <c r="M58" i="13" s="1"/>
  <c r="L113" i="13"/>
  <c r="M113" i="13" s="1"/>
  <c r="L137" i="13"/>
  <c r="M137" i="13" s="1"/>
  <c r="L10" i="13"/>
  <c r="M10" i="13" s="1"/>
  <c r="L16" i="13"/>
  <c r="M16" i="13" s="1"/>
  <c r="L82" i="13"/>
  <c r="M82" i="13" s="1"/>
  <c r="L45" i="13"/>
  <c r="M45" i="13" s="1"/>
  <c r="L122" i="13"/>
  <c r="M122" i="13" s="1"/>
  <c r="L117" i="13"/>
  <c r="M117" i="13" s="1"/>
  <c r="L9" i="13"/>
  <c r="M9" i="13" s="1"/>
  <c r="L13" i="13"/>
  <c r="M13" i="13" s="1"/>
  <c r="L15" i="13"/>
  <c r="M15" i="13" s="1"/>
  <c r="L63" i="13"/>
  <c r="M63" i="13" s="1"/>
  <c r="L49" i="13"/>
  <c r="M49" i="13" s="1"/>
  <c r="L129" i="13"/>
  <c r="M129" i="13" s="1"/>
  <c r="L132" i="13"/>
  <c r="M132" i="13" s="1"/>
  <c r="L59" i="13"/>
  <c r="M59" i="13" s="1"/>
  <c r="H25" i="13"/>
  <c r="H50" i="13" s="1"/>
  <c r="H75" i="13" s="1"/>
  <c r="H100" i="13" s="1"/>
  <c r="H125" i="13" s="1"/>
  <c r="H150" i="13" s="1"/>
  <c r="H170" i="13" s="1"/>
  <c r="M118" i="13"/>
  <c r="M20" i="13"/>
  <c r="M114" i="13"/>
  <c r="M47" i="13"/>
  <c r="M116" i="13"/>
  <c r="M62" i="13"/>
  <c r="M65" i="13"/>
  <c r="M134" i="13"/>
  <c r="M164" i="13"/>
  <c r="G170" i="13" l="1"/>
  <c r="L25" i="13"/>
  <c r="L50" i="13" s="1"/>
  <c r="M8" i="13"/>
  <c r="M12" i="13"/>
  <c r="L75" i="13" l="1"/>
  <c r="L100" i="13" s="1"/>
  <c r="L125" i="13" s="1"/>
  <c r="M25" i="13"/>
  <c r="M50" i="13" s="1"/>
  <c r="M75" i="13" l="1"/>
  <c r="M100" i="13" s="1"/>
  <c r="M125" i="13" s="1"/>
  <c r="L150" i="13"/>
  <c r="L170" i="13" s="1"/>
  <c r="M150" i="13" l="1"/>
  <c r="M170" i="13" s="1"/>
  <c r="C171" i="13" l="1"/>
  <c r="C173" i="13"/>
  <c r="E173" i="13" s="1"/>
  <c r="K170" i="13"/>
  <c r="K150" i="13"/>
  <c r="K75" i="13"/>
  <c r="K100" i="13"/>
  <c r="K125" i="13"/>
</calcChain>
</file>

<file path=xl/sharedStrings.xml><?xml version="1.0" encoding="utf-8"?>
<sst xmlns="http://schemas.openxmlformats.org/spreadsheetml/2006/main" count="1622" uniqueCount="604">
  <si>
    <t>ตามรายละเอียด ดังนี้</t>
  </si>
  <si>
    <t>ที่</t>
  </si>
  <si>
    <t>ชื่อ - นามสกุล</t>
  </si>
  <si>
    <t>จำนวนเงินที่</t>
  </si>
  <si>
    <t>ยอดยกไป</t>
  </si>
  <si>
    <t>รวมทั้งสิ้น</t>
  </si>
  <si>
    <t>รวม</t>
  </si>
  <si>
    <t>ชพค.</t>
  </si>
  <si>
    <t>ชพส.</t>
  </si>
  <si>
    <t>โรงเรียน</t>
  </si>
  <si>
    <t>เลขที่บัญชีเงินฝาก</t>
  </si>
  <si>
    <t>ขั้นหรืออัตราค่าจ้าง</t>
  </si>
  <si>
    <t>ประกันสังคม</t>
  </si>
  <si>
    <t>หักทั้งสิ้น</t>
  </si>
  <si>
    <t>รายการหัก</t>
  </si>
  <si>
    <t>น.ส.ภัทรา  ข่าขันมะลี</t>
  </si>
  <si>
    <t>203-0-00814-1</t>
  </si>
  <si>
    <t>น.ส.จุฑามาศ  พานิชชาติ</t>
  </si>
  <si>
    <t>บ้านเขาหินซ้อน</t>
  </si>
  <si>
    <t>203-1-46349-7</t>
  </si>
  <si>
    <t>น.ส.หทัยรัตน์  ตันหยง</t>
  </si>
  <si>
    <t>ท่าระหัดราษฎร์สฤษฎิ์</t>
  </si>
  <si>
    <t>203-0-02589-5</t>
  </si>
  <si>
    <t>นายไพฑูรย์  สุคันธารุณ</t>
  </si>
  <si>
    <t>บ้านแปลงไผ่-ขุนคลัง</t>
  </si>
  <si>
    <t>238-1-23976-6</t>
  </si>
  <si>
    <t>บ้านหินแร่</t>
  </si>
  <si>
    <t>238-1-24182-5</t>
  </si>
  <si>
    <t>บ้านมาบนาดี</t>
  </si>
  <si>
    <t>229-1-41708-8</t>
  </si>
  <si>
    <t>นายสมชาย  พริกเทศ</t>
  </si>
  <si>
    <t>บ้านท่าทองดำ</t>
  </si>
  <si>
    <t>238-1-31437-7</t>
  </si>
  <si>
    <t>น.ส.วชิรา  ศรีชุนสิน</t>
  </si>
  <si>
    <t>บ้านโปร่งเกตุ</t>
  </si>
  <si>
    <t>238-1-28342-0</t>
  </si>
  <si>
    <t>น.ส.นิศานาถ  เอียงประคอง</t>
  </si>
  <si>
    <t>บ้านสุ่งเจริญ</t>
  </si>
  <si>
    <t>238-1-26076-5</t>
  </si>
  <si>
    <t>นางณัฐจิรา  วันโณ</t>
  </si>
  <si>
    <t>บ้านสระไม้แดง</t>
  </si>
  <si>
    <t>นางอัญชลี  พลตื้อ</t>
  </si>
  <si>
    <t>บ้านทุ่งส่อหงษา</t>
  </si>
  <si>
    <t>238-1-24772-6</t>
  </si>
  <si>
    <t>นายทวี  ทบธรรม</t>
  </si>
  <si>
    <t>238-1-16592-4</t>
  </si>
  <si>
    <t>บ้านคลองอุดม</t>
  </si>
  <si>
    <t>238-1-27526-6</t>
  </si>
  <si>
    <t>นางน้อย  พลเยี่ยม</t>
  </si>
  <si>
    <t>238-1-17378-1</t>
  </si>
  <si>
    <t>นายบุญทวี  ดิษริยะกุล</t>
  </si>
  <si>
    <t>บ้านห้วยหิน</t>
  </si>
  <si>
    <t>238-1-21900-5</t>
  </si>
  <si>
    <t>น.ส.วรรณรี  สรประสิทธิ์</t>
  </si>
  <si>
    <t>238-1-01593-0</t>
  </si>
  <si>
    <t>สวนป่าอุปถัมภ์</t>
  </si>
  <si>
    <t>นางสุรีรัตน์  คชสาร</t>
  </si>
  <si>
    <t>บ้านโป่งเจริญ</t>
  </si>
  <si>
    <t>238-1-35201-5</t>
  </si>
  <si>
    <t>นายสำราญ  โสทา</t>
  </si>
  <si>
    <t>บ้านทุ่งส่าย</t>
  </si>
  <si>
    <t>238-1-29792-8</t>
  </si>
  <si>
    <t>บ้านหนองประโยชน์</t>
  </si>
  <si>
    <t>นางบุบผา  มณฑศก</t>
  </si>
  <si>
    <t>บ้านวังหิน</t>
  </si>
  <si>
    <t>238-0-04897-5</t>
  </si>
  <si>
    <t>บ้านศรีเจริญทอง</t>
  </si>
  <si>
    <t>238-1-24180-9</t>
  </si>
  <si>
    <t>น.ส.มะลิวัลย์  แช่มช้อย</t>
  </si>
  <si>
    <t>238-1-34962-6</t>
  </si>
  <si>
    <t>บ้านธรรมรัตน์ใน</t>
  </si>
  <si>
    <t>นายนรากร  เกตุแก้ว</t>
  </si>
  <si>
    <t>238-1-27277-1</t>
  </si>
  <si>
    <t>น.ส.นิภา  หมอกเจริญ</t>
  </si>
  <si>
    <t>บ้านห้วยตะปอก</t>
  </si>
  <si>
    <t>238-1-35396-8</t>
  </si>
  <si>
    <t>นายสาธิต  ดีเหมือน</t>
  </si>
  <si>
    <t>บ้านกรอกสะแก</t>
  </si>
  <si>
    <t>นายจุลศักดิ์  มนต์กสิสูตร</t>
  </si>
  <si>
    <t>บ้านท่ากลอย</t>
  </si>
  <si>
    <t>238-1-35773-4</t>
  </si>
  <si>
    <t>นางปณิตา  เชิดชู</t>
  </si>
  <si>
    <t>238-1-27671-8</t>
  </si>
  <si>
    <t>บ้านร่มโพธิ์ทอง</t>
  </si>
  <si>
    <t>238-1-32989-7</t>
  </si>
  <si>
    <t>น.ส.สุดาวัลย์  แซ่อึ้ง</t>
  </si>
  <si>
    <t>238-1-33036-4</t>
  </si>
  <si>
    <t>นายพลากร  จิระศักดิ์</t>
  </si>
  <si>
    <t>บ้านหนองปลาซิว</t>
  </si>
  <si>
    <t>238-0-00145-6</t>
  </si>
  <si>
    <t>บ้านอ่างเสือดำ</t>
  </si>
  <si>
    <t>นางอุไร  เอกธรรมมงคล</t>
  </si>
  <si>
    <t>บ้านเทพประทาน</t>
  </si>
  <si>
    <t>238-0-09185-4</t>
  </si>
  <si>
    <t>น.ส.นุชจรีย์  พรหมลา</t>
  </si>
  <si>
    <t>238-1-24255-4</t>
  </si>
  <si>
    <t>203-1-37188-6</t>
  </si>
  <si>
    <t>นางลัดดาวัลย์  ชื่นใจดี</t>
  </si>
  <si>
    <t>203-1-23055-7</t>
  </si>
  <si>
    <t>บ้านคลองยายสร้อย</t>
  </si>
  <si>
    <t>นายเพลินพรม ปะวะเส</t>
  </si>
  <si>
    <t>238-1-09292-7</t>
  </si>
  <si>
    <t>นางศุภจิตต์  หงษา</t>
  </si>
  <si>
    <t>238-1-23071-8</t>
  </si>
  <si>
    <t>238-1-22418-1</t>
  </si>
  <si>
    <t>วัดหนองแหน</t>
  </si>
  <si>
    <t>น.ส.นัยนาภรณ์  เข็มทอง</t>
  </si>
  <si>
    <t>238-1-15127-3</t>
  </si>
  <si>
    <t>น.ส.นิรินทิรา  ใต้พรม</t>
  </si>
  <si>
    <t>238-1-20911-5</t>
  </si>
  <si>
    <t>นางกัญญา  อานทอง</t>
  </si>
  <si>
    <t>238-0-02783-8</t>
  </si>
  <si>
    <t>นางอนุสรา   ทนันไธสง</t>
  </si>
  <si>
    <t>238-1-19847-4</t>
  </si>
  <si>
    <t>นางชนาภา  ชื่นหทัย</t>
  </si>
  <si>
    <t>238-1-22675-3</t>
  </si>
  <si>
    <t>นางดวงนภา  สินวิสูตร</t>
  </si>
  <si>
    <t>238-1-22676-1</t>
  </si>
  <si>
    <t>นายสมบัติ  มาศงามเมือง</t>
  </si>
  <si>
    <t>238-1-23197-8</t>
  </si>
  <si>
    <t>238-1-20108-4</t>
  </si>
  <si>
    <t>นางปณิตา  ปิ่นกุล</t>
  </si>
  <si>
    <t>238-1-14519-2</t>
  </si>
  <si>
    <t>238-1-16187-2</t>
  </si>
  <si>
    <t>นายสมบูรณ์  เบ็ญมาศ</t>
  </si>
  <si>
    <t>238-1-24197-3</t>
  </si>
  <si>
    <t>น.ส.อัมไพพันธุ์  นาคสมบูรณ์</t>
  </si>
  <si>
    <t>238-1-24172-8</t>
  </si>
  <si>
    <t>น.ส.วาสนา  เข็มลาย</t>
  </si>
  <si>
    <t>238-1-16180-5</t>
  </si>
  <si>
    <t>238-1-18665-4</t>
  </si>
  <si>
    <t>น.ส.อุษณีย์  ง่วนกิจ</t>
  </si>
  <si>
    <t>238-0-08407-6</t>
  </si>
  <si>
    <t>นางธนพร  ไทยานุสร</t>
  </si>
  <si>
    <t>238-0-01718-2</t>
  </si>
  <si>
    <t>นางพับพลึง  หางแก้ว</t>
  </si>
  <si>
    <t>238-0-08406-8</t>
  </si>
  <si>
    <t>น.ส.ณัฎฐ์ชิดา  อากิยวงศ์</t>
  </si>
  <si>
    <t>วัดสาวชะโงก</t>
  </si>
  <si>
    <t>222-1-11670-4</t>
  </si>
  <si>
    <t>นายทรงศักดิ์  พุทธวิเศษสรรค์</t>
  </si>
  <si>
    <t>ไพบูลย์ประชานุกูล</t>
  </si>
  <si>
    <t>222-1-12072-8</t>
  </si>
  <si>
    <t>นางณัฐชา  ชวดสลุง</t>
  </si>
  <si>
    <t>สุวรรณคีรี</t>
  </si>
  <si>
    <t>203-1-36126-0</t>
  </si>
  <si>
    <t>นางจันทรา  ราศี</t>
  </si>
  <si>
    <t>บ้านท่าคาน</t>
  </si>
  <si>
    <t>238-0-07222-1</t>
  </si>
  <si>
    <t>น.ส.ดวงพร  โอสถานนท์</t>
  </si>
  <si>
    <t>บ้านม่วงโพรง</t>
  </si>
  <si>
    <t>203-1-35396-9</t>
  </si>
  <si>
    <t>น.ส.ขวัญเรือน  เดชพิพัฒน์</t>
  </si>
  <si>
    <t>238-0-04674-3</t>
  </si>
  <si>
    <t>นางยุพิน  แก้ววิจิตร</t>
  </si>
  <si>
    <t>วัดชำป่างาม</t>
  </si>
  <si>
    <t>238-0-08147-6</t>
  </si>
  <si>
    <t>นางนวลจันทร์  ชลานุเคราะห์</t>
  </si>
  <si>
    <t>238-0-09265-6</t>
  </si>
  <si>
    <t>นายวันชัย  ทองสาท</t>
  </si>
  <si>
    <t>บ้าน กม.7</t>
  </si>
  <si>
    <t>238-1-20268-4</t>
  </si>
  <si>
    <t>นายพลวัตร์  ถั่วทอง</t>
  </si>
  <si>
    <t>238-1-15943-6</t>
  </si>
  <si>
    <t>น.ส.ดวงเดือน  นพโสภณ</t>
  </si>
  <si>
    <t>บางพะเนียง</t>
  </si>
  <si>
    <t>238-1-19529-7</t>
  </si>
  <si>
    <t>น.ส.สกุลทิพย์  จตุรทิพย์คันธา</t>
  </si>
  <si>
    <t>วัดสระสองตอน</t>
  </si>
  <si>
    <t>238-0-04811-8</t>
  </si>
  <si>
    <t>นางสรัญญา  จันทรตรูผล</t>
  </si>
  <si>
    <t>203-0-08683-5</t>
  </si>
  <si>
    <t>บ้านหนองแสง</t>
  </si>
  <si>
    <t>สว่างศรัทธาธรรมสถาน</t>
  </si>
  <si>
    <t>น.ส.ทัศนีย์  วงษ์สมบูรณ์</t>
  </si>
  <si>
    <t>บ้านหนองสองห้อง</t>
  </si>
  <si>
    <t>203-0-00482-0</t>
  </si>
  <si>
    <t>น.ส.ขันทอง  นนตีนอก</t>
  </si>
  <si>
    <t>บ้านอ่างตะแบก</t>
  </si>
  <si>
    <t>238-1-34866-2</t>
  </si>
  <si>
    <t>นายประวิทย์  บุญชู</t>
  </si>
  <si>
    <t>บ้านอ่างเตย</t>
  </si>
  <si>
    <t>238-1-27283-6</t>
  </si>
  <si>
    <t xml:space="preserve">ขอส่งเช็คเพื่อโอนเงินเข้าบัญชีเงินฝากของข้าราชการและลูกจ้างประจำ </t>
  </si>
  <si>
    <t>โอนเข้าธนาคาร</t>
  </si>
  <si>
    <t xml:space="preserve"> </t>
  </si>
  <si>
    <t>หลักฐานการโอนเงินเข้าบัญชีเงินฝากของข้าราชการและลูกจ้างประจำ</t>
  </si>
  <si>
    <t>ถึง ธนาคารกรุงไทย จำกัด (มหาชน) สาขาพนมสารคาม</t>
  </si>
  <si>
    <t>จากส่วนราชการ  สำนักงานเขตพื้นที่การศึกษาฉะเชิงเทรา เขต 2</t>
  </si>
  <si>
    <t>อำเภอพนมสารคาม จังหวัดฉะเชิงเทรา</t>
  </si>
  <si>
    <t>สียัดพัฒนา</t>
  </si>
  <si>
    <t>วัดน้ำฉ่า</t>
  </si>
  <si>
    <t>นายปัญญา  แซ่โค้ว</t>
  </si>
  <si>
    <t>นางทองนาค  สิมศิริวัฒน์</t>
  </si>
  <si>
    <t>นายสุเทพ  บุญมาก</t>
  </si>
  <si>
    <t>นายสรายุทธ์  วระชุน</t>
  </si>
  <si>
    <t>238-1-24044-6</t>
  </si>
  <si>
    <t>238-1-34703-8</t>
  </si>
  <si>
    <t>203-0-05895-5</t>
  </si>
  <si>
    <t>238-0-00071-9</t>
  </si>
  <si>
    <t>238-0-07078-4</t>
  </si>
  <si>
    <t>238-0-08437-8</t>
  </si>
  <si>
    <t>238-0-09536-1</t>
  </si>
  <si>
    <t>วัดท่าเกวียน</t>
  </si>
  <si>
    <t>น.ส.อ้อมเดือน  วงค์วิไลพิสิฐ</t>
  </si>
  <si>
    <t>203-0-10981-9</t>
  </si>
  <si>
    <t>203-0-10980-0</t>
  </si>
  <si>
    <t>จำนวนเงิน (ตัวอักษร)</t>
  </si>
  <si>
    <t>ธนาคารกรุงไทย จำกัด (มหาชน) ได้รับเงินจากเช็คธนาคารกรุงไทย สาขาพนมสารคาม  เลขที่ ........................................ ลงวันที่</t>
  </si>
  <si>
    <t xml:space="preserve">เช็คธนาคารกรุงไทย จำกัด สาขาพนมสารคาม เลขที่...………………ลงวันที่ </t>
  </si>
  <si>
    <t>จำนวน</t>
  </si>
  <si>
    <t>บาท</t>
  </si>
  <si>
    <t>ลงชื่อ ...............................................................................</t>
  </si>
  <si>
    <t>ตำแหน่ง ........................................................................</t>
  </si>
  <si>
    <t>นายสุวิทย์  บุญกิจ</t>
  </si>
  <si>
    <t>บ้านหนองสทิต</t>
  </si>
  <si>
    <t>น.ส.ธัญรัตน์  สัมฤทธิ์</t>
  </si>
  <si>
    <t>ไม้แก้วประชานุเคราะห์</t>
  </si>
  <si>
    <t>บ้านหนองปลาไหล</t>
  </si>
  <si>
    <t>นางสายใจ  มะยมหิน</t>
  </si>
  <si>
    <t>โกรกแก้ววงพระจันทร์</t>
  </si>
  <si>
    <t>นายวีระพันธุ์  นางแล</t>
  </si>
  <si>
    <t>ไทรทองอุปถัมภ์</t>
  </si>
  <si>
    <t>นางเสาวณี  ชินสงคราม</t>
  </si>
  <si>
    <t>น.ส.สุณิตรา  ปิงคำภา</t>
  </si>
  <si>
    <t>นางสุวรรณดี  พุทธรักษา</t>
  </si>
  <si>
    <t>น.ส.รุจี  ใยยั่งยืน</t>
  </si>
  <si>
    <t>บ้านคลองสอง</t>
  </si>
  <si>
    <t>บ้านท่าซุง</t>
  </si>
  <si>
    <t>น.ส.ศรีสกุล  ภู่ระหงษ์</t>
  </si>
  <si>
    <t>ตกเบิก</t>
  </si>
  <si>
    <t>201-0-09442-5</t>
  </si>
  <si>
    <t>นางนิภา  อิ่มชุ่มชื่น</t>
  </si>
  <si>
    <t>238-0-09100-5</t>
  </si>
  <si>
    <t>238-0-03861-9</t>
  </si>
  <si>
    <t>น.ส.กฤษณา  ชินสงคราม</t>
  </si>
  <si>
    <t>238-0-12617-8</t>
  </si>
  <si>
    <t>เงินเพิ่มค่าครองชีพ</t>
  </si>
  <si>
    <t>นางเพียงอัมพร  หมั่นเรียน</t>
  </si>
  <si>
    <t>นางวาสนา  ลี้หยง (จอง)</t>
  </si>
  <si>
    <t>นางนันทิกา นิกรประเสริฐ (จุมจันทร์)</t>
  </si>
  <si>
    <t>บ้าน</t>
  </si>
  <si>
    <t>นางประภัสรา  ชุณหพันธ์</t>
  </si>
  <si>
    <t>ตลาดบางบ่อ</t>
  </si>
  <si>
    <t>สหกรณ์/กู้ ชพค.</t>
  </si>
  <si>
    <t>บ้านห้วยน้ำทรัพย์</t>
  </si>
  <si>
    <t>นางสุวิญญาณ์  พานิชพัฒน์</t>
  </si>
  <si>
    <t>นางวรนุช  โสธาตุ</t>
  </si>
  <si>
    <t>238-0-15601-8</t>
  </si>
  <si>
    <t>203-0-12174-6</t>
  </si>
  <si>
    <t>นางชุติมณฑ์  ราญรอน</t>
  </si>
  <si>
    <t>น.ส.ศิริรัตน์  รอดมั่นคง</t>
  </si>
  <si>
    <t>น.ส.เบญจวรรณ เสวีวัลลภ</t>
  </si>
  <si>
    <t>238-0-17187-4</t>
  </si>
  <si>
    <t>นางกอบแก้ว   ชูสุวรรณ</t>
  </si>
  <si>
    <t>นายกฤษณพงษ์  โสธาตุ</t>
  </si>
  <si>
    <t>201-1-59956-3</t>
  </si>
  <si>
    <t>238-0-01992-4</t>
  </si>
  <si>
    <t>222-0-09403-0</t>
  </si>
  <si>
    <t>222-0-09436-7</t>
  </si>
  <si>
    <t>238-0-18806-8</t>
  </si>
  <si>
    <t>222-0-09356-5</t>
  </si>
  <si>
    <t>201-0-08512-4</t>
  </si>
  <si>
    <t>201-0-17732-0</t>
  </si>
  <si>
    <t>222-0-09446-4</t>
  </si>
  <si>
    <t>203-1-31451-3</t>
  </si>
  <si>
    <t>น.ส.ศรีไพร  นันทสูนย์</t>
  </si>
  <si>
    <t>วัดหนองเสือ</t>
  </si>
  <si>
    <t>203-1-42178-6</t>
  </si>
  <si>
    <t>น.ส.นัชชา  อัธยาตมวิทยา</t>
  </si>
  <si>
    <t>วัดดอนทอง</t>
  </si>
  <si>
    <t>203-0-08023-3</t>
  </si>
  <si>
    <t>นายสุวัฒน์ชัย  ศรีบัว</t>
  </si>
  <si>
    <t>238-0-18975-7</t>
  </si>
  <si>
    <t>น.ส.สมพร  วงค์กำภู</t>
  </si>
  <si>
    <t>203-1-60116-4</t>
  </si>
  <si>
    <t>น.ส.ณัฐติมา  สง่าวงษ์</t>
  </si>
  <si>
    <t>บ้านลาดกระทิง</t>
  </si>
  <si>
    <t>238-0-18907-2</t>
  </si>
  <si>
    <t>นายจิรพนธ์  ชาชุมพร</t>
  </si>
  <si>
    <t>บ้านวังคู</t>
  </si>
  <si>
    <t>238-0-11344-0</t>
  </si>
  <si>
    <t>นายนพคุณ  เจิมจรุง</t>
  </si>
  <si>
    <t>วัดหัวกระสังข์</t>
  </si>
  <si>
    <t>222-1-19641-4</t>
  </si>
  <si>
    <t>บ้านห้วยน้ำใส</t>
  </si>
  <si>
    <t>น.ส.บุปผา  เนตรเจริญ</t>
  </si>
  <si>
    <t>222-0-09463-4</t>
  </si>
  <si>
    <t>น.ส.กรธิมา  นงค์จิตร์</t>
  </si>
  <si>
    <t>บ้านโคกตะเคียนงาม</t>
  </si>
  <si>
    <t>203-0-03160-7</t>
  </si>
  <si>
    <t>นายนิรันดร์  วงศ์พยัคฆ์</t>
  </si>
  <si>
    <t>บ้านโป่งตาสา</t>
  </si>
  <si>
    <t>238-0-19020-8</t>
  </si>
  <si>
    <t>นายสันติ  ไทยนาพา</t>
  </si>
  <si>
    <t>วัดหนองไม้แก่น</t>
  </si>
  <si>
    <t>203-0-20587-7</t>
  </si>
  <si>
    <t>นางสุปรียา  เพ็งเจริญ</t>
  </si>
  <si>
    <t>222-1-16867-4</t>
  </si>
  <si>
    <t>น.ส.ยุวดี  ตันไพบูลย์กุล</t>
  </si>
  <si>
    <t>222-0-05123-4</t>
  </si>
  <si>
    <t>นายไพรัตน์  นฤภัย</t>
  </si>
  <si>
    <t>238-0-08055-0</t>
  </si>
  <si>
    <t>นายญานินทร์  แก้วมณี</t>
  </si>
  <si>
    <t>238-0-15054-0</t>
  </si>
  <si>
    <t>น.ส.ลำไพ  สิมพันธ์</t>
  </si>
  <si>
    <t>บ้านไร่ดอน</t>
  </si>
  <si>
    <t>น.ส.กาญจนา  เที่ยงธรรม</t>
  </si>
  <si>
    <t xml:space="preserve"> 238-0-19201-4 </t>
  </si>
  <si>
    <t xml:space="preserve"> 203-0-15936-0 </t>
  </si>
  <si>
    <t xml:space="preserve">กู้ ชพค. </t>
  </si>
  <si>
    <t>น.ส.จารุวรรณ  ทรัพย์พงษ์</t>
  </si>
  <si>
    <t>203-0-20670-9</t>
  </si>
  <si>
    <t>238-0-21514-6</t>
  </si>
  <si>
    <t>น.ส.ชฎาพร  เต็มวงษ์</t>
  </si>
  <si>
    <t>238-0-21312-7</t>
  </si>
  <si>
    <t>น.ส.สุธิณี  เมี้ยนศิริ</t>
  </si>
  <si>
    <t>201-0-13604-7</t>
  </si>
  <si>
    <t>นายกิตติพันธ์  แสนสามารถ</t>
  </si>
  <si>
    <t>น.ส.ปวีณ์กร  รัตนวิภูสิทธิ์</t>
  </si>
  <si>
    <t>นายบัญชา  เจริญทอง</t>
  </si>
  <si>
    <t>น.ส.วัชรา  กำลังมาก</t>
  </si>
  <si>
    <t>นางอนัฐดา  พริกเทศ</t>
  </si>
  <si>
    <t>วัดแหลมเขาจันทร์</t>
  </si>
  <si>
    <t>นายพิเชษฐ  เข็มเพ็ชร</t>
  </si>
  <si>
    <t>238-0-22274-6</t>
  </si>
  <si>
    <t>นางอุดม  บุญเรือน</t>
  </si>
  <si>
    <t>นายชูชาติ  นานอก</t>
  </si>
  <si>
    <t>238-0-22229-0</t>
  </si>
  <si>
    <t>238-0-22260-6</t>
  </si>
  <si>
    <t>238-0-14939-9</t>
  </si>
  <si>
    <t>238-0-22227-4</t>
  </si>
  <si>
    <t>238-0-22371-8</t>
  </si>
  <si>
    <t>นางสุจินดา  นามใหญ่</t>
  </si>
  <si>
    <t>238-0-22320-3</t>
  </si>
  <si>
    <t>238-0-12533-3</t>
  </si>
  <si>
    <t>นางอภิญญา(นฤมล)  ทิพย์โภชน์</t>
  </si>
  <si>
    <t>วัดนาน้อย</t>
  </si>
  <si>
    <t>น.ส.ประภาพรรณ  ธูปหอม</t>
  </si>
  <si>
    <t>201-0-15640-4</t>
  </si>
  <si>
    <t>น.ส.สาวิตรี  โสภาไฮ</t>
  </si>
  <si>
    <t>น.ส.กัญญา  เพ็ชรนอก</t>
  </si>
  <si>
    <t>238-0-21263-5</t>
  </si>
  <si>
    <t>น.ส.นันทกา  แก้วผล</t>
  </si>
  <si>
    <t>238-0-21862-5</t>
  </si>
  <si>
    <t>น.ส.สุธาสินี  สุรสิทธิ์</t>
  </si>
  <si>
    <t>บ้านหนองกลางดง</t>
  </si>
  <si>
    <t>203-0-23338-2</t>
  </si>
  <si>
    <t>น.ส.วาสนา  เข็มรุ่ง</t>
  </si>
  <si>
    <t>203-0-23590-3</t>
  </si>
  <si>
    <t>203-0-18827-1</t>
  </si>
  <si>
    <t>นายรามิล  แม่นปืน</t>
  </si>
  <si>
    <t>บ้านห้วยหิน (พนม)</t>
  </si>
  <si>
    <t>203-0-23867-8</t>
  </si>
  <si>
    <t>นายธนภัทร  เสียงล้ำ</t>
  </si>
  <si>
    <t>วัดทุ่งยายชี</t>
  </si>
  <si>
    <t>นายเสกสันติ์  ชะลิตะ</t>
  </si>
  <si>
    <t xml:space="preserve"> 238-0-22980-5 </t>
  </si>
  <si>
    <t>บ้านท่าเลียบ</t>
  </si>
  <si>
    <t>วัดหัวสำโรง</t>
  </si>
  <si>
    <t>วัดบ้านซ่อง</t>
  </si>
  <si>
    <t>วัดเสม็ดเหนือ</t>
  </si>
  <si>
    <t>ลดกู้ ชพค. 400 ไม่พอหัก</t>
  </si>
  <si>
    <t>นางเมตตา  อุ้มพิมาย(น้อยนาค)</t>
  </si>
  <si>
    <t>ลาออก 7 มิย.54</t>
  </si>
  <si>
    <t>ลดกู้ ชพค. 900 ไม่พอหัก</t>
  </si>
  <si>
    <t>นายชิษณุพงษ์  ศรีเมือง</t>
  </si>
  <si>
    <t>ตั้งแต่ 10 สค.54</t>
  </si>
  <si>
    <t>238-0-19500-5</t>
  </si>
  <si>
    <t xml:space="preserve"> 27  กันยายน  2554</t>
  </si>
  <si>
    <t>ประจำเดือนกันยายน</t>
  </si>
  <si>
    <t xml:space="preserve">ไม่พอหักกู้ ชพค. 500 </t>
  </si>
  <si>
    <t>นางมนัสนันท์  นิรุตติ์เมธีกุล</t>
  </si>
  <si>
    <t>ตั้งแต่ 16 สค.54</t>
  </si>
  <si>
    <t>น.ส.สุทธิจิตร  สุวรรณโพธิ์</t>
  </si>
  <si>
    <t>นายอนุชา  เฉิดฉันท์พิพัฒน์</t>
  </si>
  <si>
    <t>น.ส.วิภา  ประกอบยา</t>
  </si>
  <si>
    <t>ตั้งแต่ 25 สค.54</t>
  </si>
  <si>
    <t>ตั้งแต่ 22 สค.54</t>
  </si>
  <si>
    <t>น.ส.ดวงพร  เพชรรักษ์</t>
  </si>
  <si>
    <t>น.ส.สุกัญญา  เล่าเปลี่ยน</t>
  </si>
  <si>
    <t>ตั้งแต่ 17 สค.54</t>
  </si>
  <si>
    <t>นายณัฐพล  พุ่มพวง</t>
  </si>
  <si>
    <t>ว่าที่ ร.ต.นิรุตม์  นามมนตรี</t>
  </si>
  <si>
    <t>นางรัศมี  มีเดช</t>
  </si>
  <si>
    <t>ตั้งแต่ 26 สค.54</t>
  </si>
  <si>
    <t>นายชัยยุทธ์  อบกลิ่นจันทร์</t>
  </si>
  <si>
    <t>น.ส.พรรษชล  ศรีสุข</t>
  </si>
  <si>
    <t>นายดนัย  ตันเจริญ</t>
  </si>
  <si>
    <t>น.ส.จุรีกรานต์   ลุผานา</t>
  </si>
  <si>
    <t>น.ส.ณัฎชุกานต์  ละมัย</t>
  </si>
  <si>
    <t>น.ส.สุดารัตน์  บุดดาวงค์</t>
  </si>
  <si>
    <t>น.ส.ละอองดาว  บุญสนอง</t>
  </si>
  <si>
    <t>นางสิริกร  จันทร์นอก</t>
  </si>
  <si>
    <t>เพื่อเครดิตบัญชีเงินฝากธนาคารของพนักงานราชการ ในวันที่ 27 กันยายน 2554 (เว้นวันทำการสุดท้ายของธนาคารในเดือนนี้) ตามรายละเอียดข้างบนนี้เรียบร้อยแล้ว</t>
  </si>
  <si>
    <t>238-0-21157-4</t>
  </si>
  <si>
    <t>238-0-25862-7</t>
  </si>
  <si>
    <t>238-0-24161-9</t>
  </si>
  <si>
    <t>238-0-25885-6</t>
  </si>
  <si>
    <t>238-0-24628-9</t>
  </si>
  <si>
    <t>238-1-34494-2</t>
  </si>
  <si>
    <t>222-0-09716-1</t>
  </si>
  <si>
    <t>222-0-09647-5</t>
  </si>
  <si>
    <t>238-0-08101-8</t>
  </si>
  <si>
    <t>238-0-25731-0</t>
  </si>
  <si>
    <t>238-0-25732-9</t>
  </si>
  <si>
    <t>238-0-25733-7</t>
  </si>
  <si>
    <t>238-0-16059-7</t>
  </si>
  <si>
    <t>238-0-16721-4</t>
  </si>
  <si>
    <t>238-0-25724-8</t>
  </si>
  <si>
    <t>222-0-10152-5</t>
  </si>
  <si>
    <t>238-0-25843-0</t>
  </si>
  <si>
    <t>นางสุกัญญา เจิมถาวร</t>
  </si>
  <si>
    <t>น.ส.ทิพย์วรรณ ขันอาสา</t>
  </si>
  <si>
    <t>นางกัญญาวีร์  บุตรจันทร์</t>
  </si>
  <si>
    <t>นางปราณี  ปรางทอง</t>
  </si>
  <si>
    <t>ค่าตอบแทนพนักงานราชการ เพิ่ม 5% ตกเบิกตั้งแต่ 1 เมษายน - 30 กันยายน 2554</t>
  </si>
  <si>
    <t>น.ส.โสดาพรรณ  นทสิทธิ์</t>
  </si>
  <si>
    <t>นายพงศภัค  กำมะเลศ</t>
  </si>
  <si>
    <t>นายเอกชัย  พละศักดิ์</t>
  </si>
  <si>
    <t>238-0-26012-5</t>
  </si>
  <si>
    <t>238-0-19400-9</t>
  </si>
  <si>
    <t>238-0-25969-0</t>
  </si>
  <si>
    <t>เพื่อเครดิตบัญชีเงินฝากธนาคารของพนักงานราชการ ในวันที่    พฤศจิกายน 2554 (เว้นวันทำการสุดท้ายของธนาคารในเดือนนี้) ตามรายละเอียดข้างบนนี้เรียบร้อยแล้ว</t>
  </si>
  <si>
    <t>จากส่วนราชการ  สำนักงานเขตพื้นที่การศึกษาประถมศึกษาฉะเชิงเทรา เขต 2</t>
  </si>
  <si>
    <t>วัดหนองเค็ด</t>
  </si>
  <si>
    <t>วัดหินดาษ</t>
  </si>
  <si>
    <t>วัดทางข้ามน้อย</t>
  </si>
  <si>
    <t>บ้านปลายคลอง</t>
  </si>
  <si>
    <t>วัดพงษาราม</t>
  </si>
  <si>
    <t>บ้านแหลมตะคร้อ</t>
  </si>
  <si>
    <t>บ้านหนองขาหยั่ง</t>
  </si>
  <si>
    <t>วัดธารพูด</t>
  </si>
  <si>
    <t>โสภณประชาฯ</t>
  </si>
  <si>
    <t>บ้านนา</t>
  </si>
  <si>
    <t>นายวรธันย์  พรมโสภา</t>
  </si>
  <si>
    <t>นายวิทิต  โชครัตนาเจริญ</t>
  </si>
  <si>
    <t>วัดโคกหัวข้าว</t>
  </si>
  <si>
    <t>นางชัชลี  หงษ์สุวรรณ</t>
  </si>
  <si>
    <t>วัดบางโรง</t>
  </si>
  <si>
    <t>นางณัฐธยาน์  มัชฌิมา</t>
  </si>
  <si>
    <t>ทุ่งสะเดาประชาสรรค์</t>
  </si>
  <si>
    <t>น.ส.ดาวรุ่ง  ผ่องใส</t>
  </si>
  <si>
    <t>วัดปากน้ำโจ้โล้</t>
  </si>
  <si>
    <t>203-1-61050-3</t>
  </si>
  <si>
    <t>201-0-11158-3</t>
  </si>
  <si>
    <t>238-0-26372-8</t>
  </si>
  <si>
    <t>222-0-10353-6</t>
  </si>
  <si>
    <t>น.ส.ยิ่งลักษณ์  ทิวาวงศ์</t>
  </si>
  <si>
    <t>วัดดอนขี้เหล็ก</t>
  </si>
  <si>
    <t>203-0-22970-9</t>
  </si>
  <si>
    <t>201-0-17648-0</t>
  </si>
  <si>
    <t>น.ส.สุภาพร  โกศาสตร์</t>
  </si>
  <si>
    <t>วัดคูมอญ</t>
  </si>
  <si>
    <t>222-0-08527-9</t>
  </si>
  <si>
    <t>นายประกิต  ขวาไชย</t>
  </si>
  <si>
    <t>238-0-27369-3</t>
  </si>
  <si>
    <t>229-0-31180-4</t>
  </si>
  <si>
    <t>นายจักรี  อาษาดี</t>
  </si>
  <si>
    <t>238-0-19703-2</t>
  </si>
  <si>
    <t>น.ส.สมใจ  บุทธิจักร</t>
  </si>
  <si>
    <t>238-0-27548-3</t>
  </si>
  <si>
    <t>น.ส.กานต์ เจียมวงศากุล</t>
  </si>
  <si>
    <t>นายอรรคเดช  ประสินทอง</t>
  </si>
  <si>
    <t>วัดดอนท่านา</t>
  </si>
  <si>
    <t>203-0-27791-6</t>
  </si>
  <si>
    <t>229-0-05960-9</t>
  </si>
  <si>
    <t>ขุติมณฑ์  ราญรอน</t>
  </si>
  <si>
    <t>เมตตา อุ้มพิมาย</t>
  </si>
  <si>
    <t>ดวงพร  โอสถานนท์</t>
  </si>
  <si>
    <t>ยุพิน  แก้ววิจิตร</t>
  </si>
  <si>
    <t>สาวิตรี  โสภาไฮ</t>
  </si>
  <si>
    <t>เพลินพรม  ปะวะเส</t>
  </si>
  <si>
    <t>ทองนาค  สิมศิริวัฒน์</t>
  </si>
  <si>
    <t>ศุภจิตต์  หงษา</t>
  </si>
  <si>
    <t>น้อย  พลเยี่ยม</t>
  </si>
  <si>
    <t>กัญญา  อานทอง</t>
  </si>
  <si>
    <t>อนุสรา  ทนันไธสง</t>
  </si>
  <si>
    <t>ชนาภา  อัครศรี</t>
  </si>
  <si>
    <t>กฤษณา  ชินสงคราม</t>
  </si>
  <si>
    <t>สมชาย  พริกเทศ</t>
  </si>
  <si>
    <t>กัญญา  เพช็นรนอก</t>
  </si>
  <si>
    <t>ปณิตา  ปิ่นกุล</t>
  </si>
  <si>
    <t>ไพรัตน์  นฤภัย</t>
  </si>
  <si>
    <t>ณัฐจิรา  วันโณ</t>
  </si>
  <si>
    <t>ลำไพ สิมพันธ์</t>
  </si>
  <si>
    <t>อัญชลี  พลตื้อ</t>
  </si>
  <si>
    <t>ทวี  ทบธรรม</t>
  </si>
  <si>
    <t>วันชัย  ทองสาท</t>
  </si>
  <si>
    <t>ดวงเดือน  นพโสภณ</t>
  </si>
  <si>
    <t>ขันทอง  นนตีนอก</t>
  </si>
  <si>
    <t>ปัญญา  แซ่โค้ว</t>
  </si>
  <si>
    <t>เพียงอัมพร  หมั่นเรียน</t>
  </si>
  <si>
    <t>ปณิตา  เชิดชู</t>
  </si>
  <si>
    <t>อุษณีย์  ง่วนกิจ</t>
  </si>
  <si>
    <t>ณัฎชุกานต์  ละมัย</t>
  </si>
  <si>
    <t>อุดม  บุญเรือน</t>
  </si>
  <si>
    <t>ธนพร  ไทยานุสร</t>
  </si>
  <si>
    <t>พับพลึง  หางแก้ว</t>
  </si>
  <si>
    <t>นุชจรีย์  พรหมลา</t>
  </si>
  <si>
    <t>บุปผา  มณฑศก</t>
  </si>
  <si>
    <t>นรากร  เกตุแก้ว</t>
  </si>
  <si>
    <t>พลากร  จิระศักดิ์</t>
  </si>
  <si>
    <t>บัญชา  เจริญทอง</t>
  </si>
  <si>
    <t>สาธิต  ดีเหมือน</t>
  </si>
  <si>
    <t>พงศภัค  กำมะเลศ</t>
  </si>
  <si>
    <t>กฤษณพงษ์  โสธาตุ</t>
  </si>
  <si>
    <t>วรนุช  โสธาตุ</t>
  </si>
  <si>
    <t>สุวรรณดี  พุทธรักษา</t>
  </si>
  <si>
    <t>ประภัสรา  ชุณหพันธ์</t>
  </si>
  <si>
    <t>สุณิตรา  ปิงคำภา</t>
  </si>
  <si>
    <t>ธัญรัตน์  สัมฤทธิ์</t>
  </si>
  <si>
    <t>สายใจ  มะยมหิน</t>
  </si>
  <si>
    <t>จิรพนธ์  ชาชุมพร</t>
  </si>
  <si>
    <t>สรัญญา  จันทรตรูผล</t>
  </si>
  <si>
    <t>พลวัตร์  ถั่วทอง</t>
  </si>
  <si>
    <t>นางธัญญารัตน์  ศรีทา</t>
  </si>
  <si>
    <t>วัดหนองปาตอง</t>
  </si>
  <si>
    <t>203-1-42273-1</t>
  </si>
  <si>
    <t>นางกนกวรรณ  ทรัพย์สิน</t>
  </si>
  <si>
    <t>238-1-23268-0</t>
  </si>
  <si>
    <t>นางจันทรา  ทองพราย</t>
  </si>
  <si>
    <t>น.ส.สุกัญญา  เกตุมาลา</t>
  </si>
  <si>
    <t>203-0-28910-8</t>
  </si>
  <si>
    <t>น.ส.จีรวัฒน์   พวงสวัสดิ์</t>
  </si>
  <si>
    <t xml:space="preserve">      กันยายน 2555</t>
  </si>
  <si>
    <t>ประจำเดือนกค. -กันยายน</t>
  </si>
  <si>
    <t>นางดวงเดือน บุญล้อม</t>
  </si>
  <si>
    <t>เพื่อเครดิตบัญชีเงินฝากธนาคารของพนักงานราชการ ในวันที่    กันยายน 2555 (เว้นวันทำการสุดท้ายของธนาคารในเดือนนี้) ตามรายละเอียดข้างบนนี้เรียบร้อยแล้ว</t>
  </si>
  <si>
    <t>238-0-00283-5</t>
  </si>
  <si>
    <t>นางดวงเดือน  บุญล้อม</t>
  </si>
  <si>
    <t>นายเชิดศักดิ์  ชาญตะกั่ว</t>
  </si>
  <si>
    <t>238-0-29916-1</t>
  </si>
  <si>
    <t>นางวิไล  ปริยาภัทรสกุล</t>
  </si>
  <si>
    <t>กพ.56</t>
  </si>
  <si>
    <t>ญานินทร์  แก้วมณี</t>
  </si>
  <si>
    <t>สุทธิจิตร  สุวรรณโพธิ์</t>
  </si>
  <si>
    <t>มค.56</t>
  </si>
  <si>
    <t>อนุชา  เฉิดฉันท์พิพัฒน์</t>
  </si>
  <si>
    <t>ชิษณุพงษ์  ศรีเมือง</t>
  </si>
  <si>
    <t>วาสนา  เข็มรุ่ง</t>
  </si>
  <si>
    <t>จันทรา  ทองพราย</t>
  </si>
  <si>
    <t>นิภา  หมอกเจริญ</t>
  </si>
  <si>
    <t>งดหักเดือน พย. (วาสนา เข็มรุ่ง)</t>
  </si>
  <si>
    <t>น.ส.ปัทมา  มะลิทอง</t>
  </si>
  <si>
    <t>น.ส.ปิยนันท์  สุพโปฎก</t>
  </si>
  <si>
    <t>238-0-23038-2</t>
  </si>
  <si>
    <t>238-1-32047-4</t>
  </si>
  <si>
    <t>น.ส.นันทนา  กาญจนา</t>
  </si>
  <si>
    <t>น.ส.รัตติกา  มีอนันต์</t>
  </si>
  <si>
    <t>นายอนุเวศ  พะเนตรรัมย์</t>
  </si>
  <si>
    <t>203-0-12330-7</t>
  </si>
  <si>
    <t>203-0-30041-1</t>
  </si>
  <si>
    <t>203-0-30044-6</t>
  </si>
  <si>
    <t>น.ส.สายใจ  พระภูมิ</t>
  </si>
  <si>
    <t>น.ส.ทัศนีย์  ตระกูลศุภชัย</t>
  </si>
  <si>
    <t>238-0-30905-1</t>
  </si>
  <si>
    <t>238-0-13396-4</t>
  </si>
  <si>
    <t>น.ส.กรกนก  สมบัติทิพย์</t>
  </si>
  <si>
    <t>203-0-25283-2</t>
  </si>
  <si>
    <t>นายพิณญา  คงจันทร์</t>
  </si>
  <si>
    <t>บ้านทุ่งส่งหงษา</t>
  </si>
  <si>
    <t>238-0-31092-0</t>
  </si>
  <si>
    <t>ส่งคืน</t>
  </si>
  <si>
    <t>น.ส.โสดาพรรณ  จันทสิทธิ์</t>
  </si>
  <si>
    <t>นายศรีจุลา  จุลาศรี</t>
  </si>
  <si>
    <t>238-0-29905-6</t>
  </si>
  <si>
    <t>น.ส.ตรรกกมล  นนทเกษม</t>
  </si>
  <si>
    <t>น.ส.สิริกร  ถาวรเจริญ</t>
  </si>
  <si>
    <t>201-0-05022-3</t>
  </si>
  <si>
    <t>นางสุธิณี  พุ่มพวง</t>
  </si>
  <si>
    <t>203-0-14975-6</t>
  </si>
  <si>
    <t>นายมงคล  ดวงพาเพ็ง</t>
  </si>
  <si>
    <t>222-0-14026-1</t>
  </si>
  <si>
    <t>น.ส.สโรชินี  พงศ์สุปาณี</t>
  </si>
  <si>
    <t>นายวิเชียร  ซ่อนกลิ่น</t>
  </si>
  <si>
    <t>238-0-30605-2</t>
  </si>
  <si>
    <t>202-0-03995-8</t>
  </si>
  <si>
    <t>น.ส.สุนิสา  เรืองโสม</t>
  </si>
  <si>
    <t>775-0-18678-6</t>
  </si>
  <si>
    <t>น.ส.นุชจรีย์  วัฒนพงษ์</t>
  </si>
  <si>
    <t>238-0-22834-5</t>
  </si>
  <si>
    <t>นายพิชญ์พิริยะ  กรุณา</t>
  </si>
  <si>
    <t>203-0-29359-8</t>
  </si>
  <si>
    <t>น.ส.วรัญช์ธิตา  ธูปหอม</t>
  </si>
  <si>
    <t>น.ส.สราวรรณ  ฉิมฉิน</t>
  </si>
  <si>
    <t>203-1-61487-8</t>
  </si>
  <si>
    <t>238-0-33250-9</t>
  </si>
  <si>
    <t>น.ส.สาวินี  สง่าวงศ์</t>
  </si>
  <si>
    <t>203-0-30985-0</t>
  </si>
  <si>
    <t>น.ส.วาสนา  ทองนอก</t>
  </si>
  <si>
    <t>บ้านหนองปรือกันยาง</t>
  </si>
  <si>
    <t>238-0-32238-4</t>
  </si>
  <si>
    <t>น.ส.ณัชรดาวรรณ์ อภิรัชตะธนกุล</t>
  </si>
  <si>
    <t>238-0-30217-0</t>
  </si>
  <si>
    <t>น.ส.ปิยะวรรณ  ยี่สารพัฒน์</t>
  </si>
  <si>
    <t>201-0-26489-4</t>
  </si>
  <si>
    <t>นางจารุวรรณ  วงษ์คำ</t>
  </si>
  <si>
    <t>ประจำเดือน มีนาคม</t>
  </si>
  <si>
    <t>นายสุริยา คเชณธร</t>
  </si>
  <si>
    <t>238-1-29392-2</t>
  </si>
  <si>
    <t>นางสุณิตรา  แสงวงศ์</t>
  </si>
  <si>
    <t>25 เมษายน 2557</t>
  </si>
  <si>
    <t>เพื่อเครดิตบัญชีเงินฝากธนาคารของพนักงานราชการ ในวันที่ 25 เมษายน 2557 (เว้นวันทำการสุดท้ายของธนาคารในเดือนนี้) ตามรายละเอียดข้างบนนี้เรียบร้อยแล้ว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</si>
</sst>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46">
    <font>
      <sz val="10"/>
      <name val="Arial"/>
      <charset val="222"/>
    </font>
    <font>
      <sz val="10"/>
      <name val="Arial"/>
      <family val="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5"/>
      <name val="AngsanaUPC"/>
      <family val="1"/>
      <charset val="222"/>
    </font>
    <font>
      <sz val="16"/>
      <color indexed="10"/>
      <name val="AngsanaUPC"/>
      <family val="1"/>
      <charset val="222"/>
    </font>
    <font>
      <sz val="15"/>
      <color indexed="61"/>
      <name val="AngsanaUPC"/>
      <family val="1"/>
      <charset val="222"/>
    </font>
    <font>
      <sz val="15"/>
      <color indexed="10"/>
      <name val="AngsanaUPC"/>
      <family val="1"/>
      <charset val="222"/>
    </font>
    <font>
      <sz val="16"/>
      <color indexed="12"/>
      <name val="AngsanaUPC"/>
      <family val="1"/>
      <charset val="222"/>
    </font>
    <font>
      <sz val="15"/>
      <color indexed="12"/>
      <name val="AngsanaUPC"/>
      <family val="1"/>
      <charset val="222"/>
    </font>
    <font>
      <sz val="13"/>
      <name val="AngsanaUPC"/>
      <family val="1"/>
      <charset val="222"/>
    </font>
    <font>
      <sz val="14"/>
      <name val="AngsanaUPC"/>
      <family val="1"/>
      <charset val="222"/>
    </font>
    <font>
      <sz val="16"/>
      <color indexed="20"/>
      <name val="AngsanaUPC"/>
      <family val="1"/>
      <charset val="222"/>
    </font>
    <font>
      <sz val="15"/>
      <color indexed="60"/>
      <name val="AngsanaUPC"/>
      <family val="1"/>
      <charset val="222"/>
    </font>
    <font>
      <sz val="16"/>
      <name val="TH SarabunPSK"/>
      <family val="2"/>
    </font>
    <font>
      <sz val="15"/>
      <color rgb="FFFF0000"/>
      <name val="AngsanaUPC"/>
      <family val="1"/>
      <charset val="222"/>
    </font>
    <font>
      <sz val="16"/>
      <color rgb="FFFF0000"/>
      <name val="AngsanaUPC"/>
      <family val="1"/>
      <charset val="222"/>
    </font>
    <font>
      <sz val="16"/>
      <color theme="4"/>
      <name val="AngsanaUPC"/>
      <family val="1"/>
      <charset val="222"/>
    </font>
    <font>
      <sz val="15"/>
      <color theme="3" tint="0.39997558519241921"/>
      <name val="AngsanaUPC"/>
      <family val="1"/>
      <charset val="222"/>
    </font>
    <font>
      <sz val="15"/>
      <color rgb="FF0070C0"/>
      <name val="AngsanaUPC"/>
      <family val="1"/>
      <charset val="222"/>
    </font>
    <font>
      <sz val="16"/>
      <color rgb="FF0070C0"/>
      <name val="AngsanaUPC"/>
      <family val="1"/>
      <charset val="222"/>
    </font>
    <font>
      <sz val="16"/>
      <color theme="5" tint="-0.249977111117893"/>
      <name val="AngsanaUPC"/>
      <family val="1"/>
      <charset val="222"/>
    </font>
    <font>
      <b/>
      <sz val="16"/>
      <name val="TH SarabunPSK"/>
      <family val="2"/>
    </font>
    <font>
      <sz val="16"/>
      <color indexed="1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6"/>
      <color indexed="12"/>
      <name val="TH SarabunPSK"/>
      <family val="2"/>
    </font>
    <font>
      <sz val="15"/>
      <color rgb="FF0070C0"/>
      <name val="TH SarabunPSK"/>
      <family val="2"/>
    </font>
    <font>
      <sz val="15"/>
      <color rgb="FFFF0000"/>
      <name val="TH SarabunPSK"/>
      <family val="2"/>
    </font>
    <font>
      <sz val="15"/>
      <color theme="3" tint="0.39997558519241921"/>
      <name val="TH SarabunPSK"/>
      <family val="2"/>
    </font>
    <font>
      <sz val="15"/>
      <color indexed="12"/>
      <name val="TH SarabunPSK"/>
      <family val="2"/>
    </font>
    <font>
      <sz val="15"/>
      <color indexed="10"/>
      <name val="TH SarabunPSK"/>
      <family val="2"/>
    </font>
    <font>
      <sz val="13"/>
      <color rgb="FFFF0000"/>
      <name val="TH SarabunPSK"/>
      <family val="2"/>
    </font>
    <font>
      <sz val="15"/>
      <color indexed="61"/>
      <name val="TH SarabunPSK"/>
      <family val="2"/>
    </font>
    <font>
      <sz val="14"/>
      <color rgb="FFFF0000"/>
      <name val="TH SarabunPSK"/>
      <family val="2"/>
    </font>
    <font>
      <sz val="15"/>
      <color theme="4"/>
      <name val="TH SarabunPSK"/>
      <family val="2"/>
    </font>
    <font>
      <sz val="12"/>
      <name val="TH SarabunPSK"/>
      <family val="2"/>
    </font>
    <font>
      <sz val="12"/>
      <color indexed="12"/>
      <name val="TH SarabunPSK"/>
      <family val="2"/>
    </font>
    <font>
      <sz val="14"/>
      <color indexed="12"/>
      <name val="TH SarabunPSK"/>
      <family val="2"/>
    </font>
    <font>
      <sz val="15"/>
      <color indexed="20"/>
      <name val="TH SarabunPSK"/>
      <family val="2"/>
    </font>
    <font>
      <sz val="12"/>
      <color indexed="10"/>
      <name val="TH SarabunPSK"/>
      <family val="2"/>
    </font>
    <font>
      <sz val="15"/>
      <color theme="8" tint="-0.499984740745262"/>
      <name val="TH SarabunPSK"/>
      <family val="2"/>
    </font>
    <font>
      <sz val="15"/>
      <color theme="1"/>
      <name val="TH SarabunPSK"/>
      <family val="2"/>
    </font>
    <font>
      <sz val="15"/>
      <color theme="4" tint="-0.499984740745262"/>
      <name val="TH SarabunPSK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0">
    <xf numFmtId="0" fontId="0" fillId="0" borderId="0" xfId="0"/>
    <xf numFmtId="0" fontId="2" fillId="0" borderId="0" xfId="0" applyFont="1"/>
    <xf numFmtId="164" fontId="2" fillId="0" borderId="0" xfId="1" applyFont="1"/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65" fontId="2" fillId="0" borderId="5" xfId="1" applyNumberFormat="1" applyFont="1" applyBorder="1" applyProtection="1"/>
    <xf numFmtId="164" fontId="2" fillId="0" borderId="6" xfId="1" applyFont="1" applyBorder="1" applyProtection="1"/>
    <xf numFmtId="37" fontId="2" fillId="0" borderId="6" xfId="0" applyNumberFormat="1" applyFont="1" applyBorder="1" applyProtection="1"/>
    <xf numFmtId="0" fontId="2" fillId="0" borderId="0" xfId="0" applyFont="1" applyBorder="1"/>
    <xf numFmtId="165" fontId="2" fillId="0" borderId="7" xfId="1" applyNumberFormat="1" applyFont="1" applyBorder="1" applyProtection="1"/>
    <xf numFmtId="164" fontId="2" fillId="0" borderId="0" xfId="1" applyFont="1" applyBorder="1"/>
    <xf numFmtId="164" fontId="2" fillId="0" borderId="7" xfId="1" applyFont="1" applyBorder="1" applyProtection="1"/>
    <xf numFmtId="39" fontId="2" fillId="0" borderId="7" xfId="0" applyNumberFormat="1" applyFont="1" applyBorder="1" applyProtection="1"/>
    <xf numFmtId="37" fontId="2" fillId="0" borderId="7" xfId="0" applyNumberFormat="1" applyFont="1" applyBorder="1" applyProtection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166" fontId="2" fillId="0" borderId="8" xfId="0" applyNumberFormat="1" applyFont="1" applyBorder="1"/>
    <xf numFmtId="164" fontId="2" fillId="0" borderId="7" xfId="1" applyNumberFormat="1" applyFont="1" applyBorder="1" applyProtection="1"/>
    <xf numFmtId="39" fontId="2" fillId="0" borderId="0" xfId="0" applyNumberFormat="1" applyFont="1"/>
    <xf numFmtId="39" fontId="2" fillId="0" borderId="9" xfId="0" applyNumberFormat="1" applyFont="1" applyBorder="1" applyProtection="1"/>
    <xf numFmtId="164" fontId="2" fillId="0" borderId="9" xfId="1" applyFont="1" applyBorder="1"/>
    <xf numFmtId="39" fontId="2" fillId="0" borderId="0" xfId="0" applyNumberFormat="1" applyFont="1" applyBorder="1"/>
    <xf numFmtId="164" fontId="2" fillId="0" borderId="0" xfId="1" applyNumberFormat="1" applyFont="1"/>
    <xf numFmtId="164" fontId="2" fillId="0" borderId="0" xfId="1" applyNumberFormat="1" applyFont="1" applyAlignment="1" applyProtection="1">
      <alignment horizontal="center"/>
    </xf>
    <xf numFmtId="164" fontId="2" fillId="0" borderId="0" xfId="1" applyNumberFormat="1" applyFont="1" applyAlignment="1"/>
    <xf numFmtId="164" fontId="2" fillId="0" borderId="2" xfId="1" applyNumberFormat="1" applyFont="1" applyBorder="1" applyAlignment="1" applyProtection="1">
      <alignment horizontal="center"/>
    </xf>
    <xf numFmtId="164" fontId="2" fillId="0" borderId="8" xfId="1" applyFont="1" applyBorder="1"/>
    <xf numFmtId="0" fontId="4" fillId="0" borderId="0" xfId="0" applyFont="1"/>
    <xf numFmtId="0" fontId="4" fillId="0" borderId="3" xfId="0" applyFont="1" applyBorder="1" applyAlignment="1" applyProtection="1">
      <alignment horizontal="center"/>
    </xf>
    <xf numFmtId="0" fontId="4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65" fontId="4" fillId="0" borderId="5" xfId="1" applyNumberFormat="1" applyFont="1" applyBorder="1" applyProtection="1"/>
    <xf numFmtId="43" fontId="4" fillId="0" borderId="5" xfId="0" applyNumberFormat="1" applyFont="1" applyBorder="1"/>
    <xf numFmtId="39" fontId="4" fillId="0" borderId="9" xfId="0" applyNumberFormat="1" applyFont="1" applyBorder="1" applyProtection="1"/>
    <xf numFmtId="39" fontId="4" fillId="0" borderId="0" xfId="0" applyNumberFormat="1" applyFont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65" fontId="4" fillId="0" borderId="6" xfId="1" applyNumberFormat="1" applyFont="1" applyBorder="1" applyProtection="1"/>
    <xf numFmtId="164" fontId="4" fillId="0" borderId="6" xfId="1" applyNumberFormat="1" applyFont="1" applyBorder="1" applyProtection="1"/>
    <xf numFmtId="165" fontId="4" fillId="0" borderId="6" xfId="0" applyNumberFormat="1" applyFont="1" applyBorder="1" applyProtection="1"/>
    <xf numFmtId="37" fontId="4" fillId="0" borderId="6" xfId="0" applyNumberFormat="1" applyFont="1" applyBorder="1" applyProtection="1"/>
    <xf numFmtId="39" fontId="4" fillId="0" borderId="6" xfId="0" applyNumberFormat="1" applyFont="1" applyBorder="1" applyProtection="1"/>
    <xf numFmtId="165" fontId="6" fillId="0" borderId="6" xfId="0" applyNumberFormat="1" applyFont="1" applyBorder="1" applyProtection="1"/>
    <xf numFmtId="0" fontId="4" fillId="0" borderId="7" xfId="0" applyFont="1" applyBorder="1"/>
    <xf numFmtId="165" fontId="4" fillId="0" borderId="7" xfId="1" applyNumberFormat="1" applyFont="1" applyBorder="1" applyProtection="1"/>
    <xf numFmtId="164" fontId="4" fillId="0" borderId="7" xfId="1" applyNumberFormat="1" applyFont="1" applyBorder="1" applyProtection="1"/>
    <xf numFmtId="37" fontId="4" fillId="0" borderId="7" xfId="0" applyNumberFormat="1" applyFont="1" applyBorder="1" applyProtection="1"/>
    <xf numFmtId="0" fontId="4" fillId="0" borderId="8" xfId="0" applyFont="1" applyBorder="1" applyAlignment="1">
      <alignment horizontal="center"/>
    </xf>
    <xf numFmtId="0" fontId="4" fillId="0" borderId="8" xfId="0" applyFont="1" applyBorder="1"/>
    <xf numFmtId="166" fontId="4" fillId="0" borderId="8" xfId="0" applyNumberFormat="1" applyFont="1" applyBorder="1"/>
    <xf numFmtId="37" fontId="4" fillId="0" borderId="5" xfId="0" applyNumberFormat="1" applyFont="1" applyBorder="1" applyProtection="1"/>
    <xf numFmtId="43" fontId="4" fillId="0" borderId="6" xfId="0" applyNumberFormat="1" applyFont="1" applyBorder="1"/>
    <xf numFmtId="164" fontId="4" fillId="0" borderId="5" xfId="1" applyFont="1" applyBorder="1" applyProtection="1"/>
    <xf numFmtId="164" fontId="4" fillId="0" borderId="6" xfId="1" applyFont="1" applyBorder="1" applyProtection="1"/>
    <xf numFmtId="39" fontId="4" fillId="0" borderId="7" xfId="0" applyNumberFormat="1" applyFont="1" applyBorder="1" applyProtection="1"/>
    <xf numFmtId="0" fontId="2" fillId="0" borderId="4" xfId="0" applyFont="1" applyBorder="1" applyAlignment="1" applyProtection="1"/>
    <xf numFmtId="166" fontId="4" fillId="0" borderId="5" xfId="1" applyNumberFormat="1" applyFont="1" applyBorder="1" applyAlignment="1">
      <alignment horizontal="center"/>
    </xf>
    <xf numFmtId="166" fontId="4" fillId="0" borderId="6" xfId="1" applyNumberFormat="1" applyFont="1" applyBorder="1" applyAlignment="1">
      <alignment horizontal="center"/>
    </xf>
    <xf numFmtId="166" fontId="4" fillId="0" borderId="7" xfId="1" applyNumberFormat="1" applyFont="1" applyBorder="1" applyAlignment="1">
      <alignment horizontal="center"/>
    </xf>
    <xf numFmtId="164" fontId="3" fillId="0" borderId="0" xfId="1" applyFont="1" applyAlignment="1" applyProtection="1"/>
    <xf numFmtId="164" fontId="2" fillId="0" borderId="0" xfId="1" applyFont="1" applyAlignment="1" applyProtection="1"/>
    <xf numFmtId="164" fontId="4" fillId="0" borderId="5" xfId="1" applyFont="1" applyBorder="1" applyAlignment="1">
      <alignment horizontal="right"/>
    </xf>
    <xf numFmtId="164" fontId="4" fillId="0" borderId="6" xfId="1" applyFont="1" applyBorder="1"/>
    <xf numFmtId="164" fontId="4" fillId="0" borderId="6" xfId="1" applyFont="1" applyBorder="1" applyAlignment="1">
      <alignment horizontal="right"/>
    </xf>
    <xf numFmtId="164" fontId="4" fillId="0" borderId="7" xfId="1" applyFont="1" applyBorder="1" applyAlignment="1">
      <alignment horizontal="right"/>
    </xf>
    <xf numFmtId="164" fontId="2" fillId="0" borderId="7" xfId="1" applyFont="1" applyBorder="1" applyAlignment="1">
      <alignment horizontal="right"/>
    </xf>
    <xf numFmtId="164" fontId="4" fillId="0" borderId="8" xfId="1" applyFont="1" applyBorder="1"/>
    <xf numFmtId="164" fontId="4" fillId="0" borderId="7" xfId="1" applyFont="1" applyBorder="1" applyProtection="1"/>
    <xf numFmtId="164" fontId="4" fillId="0" borderId="6" xfId="1" applyFont="1" applyBorder="1" applyAlignment="1">
      <alignment horizontal="right" vertical="center" wrapText="1"/>
    </xf>
    <xf numFmtId="164" fontId="4" fillId="0" borderId="6" xfId="1" applyNumberFormat="1" applyFont="1" applyBorder="1" applyAlignment="1" applyProtection="1">
      <alignment horizontal="center"/>
    </xf>
    <xf numFmtId="164" fontId="4" fillId="0" borderId="6" xfId="0" applyNumberFormat="1" applyFont="1" applyBorder="1" applyAlignment="1" applyProtection="1">
      <alignment horizontal="center"/>
    </xf>
    <xf numFmtId="164" fontId="4" fillId="0" borderId="5" xfId="0" applyNumberFormat="1" applyFont="1" applyBorder="1" applyAlignment="1" applyProtection="1">
      <alignment horizontal="center"/>
    </xf>
    <xf numFmtId="164" fontId="4" fillId="0" borderId="9" xfId="1" applyFont="1" applyBorder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166" fontId="2" fillId="0" borderId="7" xfId="1" applyNumberFormat="1" applyFont="1" applyBorder="1" applyAlignment="1">
      <alignment horizontal="center"/>
    </xf>
    <xf numFmtId="164" fontId="2" fillId="0" borderId="0" xfId="1" applyFont="1" applyAlignment="1" applyProtection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166" fontId="2" fillId="0" borderId="6" xfId="1" applyNumberFormat="1" applyFont="1" applyBorder="1" applyAlignment="1">
      <alignment horizontal="center"/>
    </xf>
    <xf numFmtId="164" fontId="5" fillId="0" borderId="6" xfId="1" applyFont="1" applyBorder="1" applyProtection="1"/>
    <xf numFmtId="0" fontId="2" fillId="0" borderId="0" xfId="0" applyFont="1" applyAlignment="1">
      <alignment horizontal="left"/>
    </xf>
    <xf numFmtId="15" fontId="2" fillId="0" borderId="0" xfId="0" applyNumberFormat="1" applyFont="1"/>
    <xf numFmtId="43" fontId="2" fillId="0" borderId="0" xfId="0" applyNumberFormat="1" applyFont="1"/>
    <xf numFmtId="164" fontId="2" fillId="0" borderId="0" xfId="0" applyNumberFormat="1" applyFont="1"/>
    <xf numFmtId="0" fontId="2" fillId="0" borderId="10" xfId="0" applyFont="1" applyBorder="1" applyAlignment="1" applyProtection="1">
      <alignment horizontal="center"/>
    </xf>
    <xf numFmtId="164" fontId="7" fillId="0" borderId="6" xfId="1" applyFont="1" applyBorder="1" applyProtection="1"/>
    <xf numFmtId="0" fontId="8" fillId="0" borderId="0" xfId="0" applyFont="1"/>
    <xf numFmtId="164" fontId="8" fillId="0" borderId="0" xfId="1" applyFont="1"/>
    <xf numFmtId="164" fontId="5" fillId="0" borderId="0" xfId="1" applyFont="1"/>
    <xf numFmtId="164" fontId="7" fillId="0" borderId="7" xfId="1" applyFont="1" applyBorder="1" applyProtection="1"/>
    <xf numFmtId="164" fontId="5" fillId="0" borderId="7" xfId="1" applyFont="1" applyBorder="1" applyProtection="1"/>
    <xf numFmtId="164" fontId="9" fillId="0" borderId="6" xfId="1" applyFont="1" applyBorder="1" applyProtection="1"/>
    <xf numFmtId="164" fontId="8" fillId="0" borderId="6" xfId="1" applyFont="1" applyBorder="1" applyProtection="1"/>
    <xf numFmtId="164" fontId="9" fillId="0" borderId="7" xfId="1" applyFont="1" applyBorder="1" applyProtection="1"/>
    <xf numFmtId="0" fontId="10" fillId="0" borderId="10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39" fontId="10" fillId="0" borderId="9" xfId="0" applyNumberFormat="1" applyFont="1" applyBorder="1" applyProtection="1"/>
    <xf numFmtId="0" fontId="4" fillId="0" borderId="5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center" vertical="center" wrapText="1"/>
    </xf>
    <xf numFmtId="164" fontId="4" fillId="0" borderId="5" xfId="1" applyFont="1" applyBorder="1" applyAlignment="1">
      <alignment vertical="center" wrapText="1"/>
    </xf>
    <xf numFmtId="165" fontId="4" fillId="0" borderId="11" xfId="0" applyNumberFormat="1" applyFont="1" applyBorder="1" applyAlignment="1" applyProtection="1">
      <alignment horizontal="left"/>
    </xf>
    <xf numFmtId="164" fontId="4" fillId="0" borderId="11" xfId="1" applyFont="1" applyBorder="1" applyAlignment="1" applyProtection="1">
      <alignment horizontal="center"/>
    </xf>
    <xf numFmtId="165" fontId="2" fillId="0" borderId="8" xfId="1" applyNumberFormat="1" applyFont="1" applyBorder="1"/>
    <xf numFmtId="164" fontId="4" fillId="0" borderId="12" xfId="1" applyFont="1" applyBorder="1" applyAlignment="1">
      <alignment horizontal="right" vertical="center" wrapText="1"/>
    </xf>
    <xf numFmtId="165" fontId="4" fillId="0" borderId="12" xfId="1" applyNumberFormat="1" applyFont="1" applyBorder="1" applyProtection="1"/>
    <xf numFmtId="164" fontId="4" fillId="0" borderId="12" xfId="1" applyFont="1" applyBorder="1" applyProtection="1"/>
    <xf numFmtId="37" fontId="4" fillId="0" borderId="12" xfId="0" applyNumberFormat="1" applyFont="1" applyBorder="1" applyProtection="1"/>
    <xf numFmtId="164" fontId="4" fillId="0" borderId="2" xfId="1" applyFont="1" applyBorder="1" applyAlignment="1" applyProtection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4" xfId="0" applyFont="1" applyBorder="1"/>
    <xf numFmtId="166" fontId="4" fillId="0" borderId="14" xfId="1" applyNumberFormat="1" applyFont="1" applyBorder="1" applyAlignment="1">
      <alignment horizontal="center"/>
    </xf>
    <xf numFmtId="164" fontId="4" fillId="0" borderId="14" xfId="1" applyFont="1" applyBorder="1" applyAlignment="1">
      <alignment horizontal="right"/>
    </xf>
    <xf numFmtId="165" fontId="4" fillId="0" borderId="14" xfId="1" applyNumberFormat="1" applyFont="1" applyBorder="1" applyProtection="1"/>
    <xf numFmtId="164" fontId="4" fillId="0" borderId="14" xfId="1" applyNumberFormat="1" applyFont="1" applyBorder="1" applyProtection="1"/>
    <xf numFmtId="164" fontId="7" fillId="0" borderId="14" xfId="1" applyFont="1" applyBorder="1" applyProtection="1"/>
    <xf numFmtId="37" fontId="4" fillId="0" borderId="14" xfId="0" applyNumberFormat="1" applyFont="1" applyBorder="1" applyProtection="1"/>
    <xf numFmtId="43" fontId="4" fillId="0" borderId="14" xfId="0" applyNumberFormat="1" applyFont="1" applyBorder="1"/>
    <xf numFmtId="39" fontId="4" fillId="0" borderId="14" xfId="0" applyNumberFormat="1" applyFont="1" applyBorder="1" applyProtection="1"/>
    <xf numFmtId="164" fontId="8" fillId="0" borderId="7" xfId="1" applyFont="1" applyBorder="1" applyProtection="1"/>
    <xf numFmtId="164" fontId="4" fillId="0" borderId="5" xfId="1" applyFont="1" applyBorder="1" applyAlignment="1">
      <alignment horizontal="right" vertical="center" wrapText="1"/>
    </xf>
    <xf numFmtId="2" fontId="2" fillId="0" borderId="0" xfId="0" applyNumberFormat="1" applyFont="1"/>
    <xf numFmtId="2" fontId="4" fillId="0" borderId="5" xfId="0" applyNumberFormat="1" applyFont="1" applyBorder="1" applyProtection="1"/>
    <xf numFmtId="2" fontId="6" fillId="0" borderId="5" xfId="0" applyNumberFormat="1" applyFont="1" applyBorder="1" applyProtection="1"/>
    <xf numFmtId="2" fontId="4" fillId="0" borderId="6" xfId="0" applyNumberFormat="1" applyFont="1" applyBorder="1" applyAlignment="1" applyProtection="1">
      <alignment horizontal="right"/>
    </xf>
    <xf numFmtId="2" fontId="6" fillId="0" borderId="5" xfId="1" applyNumberFormat="1" applyFont="1" applyBorder="1" applyAlignment="1" applyProtection="1">
      <alignment horizontal="center"/>
    </xf>
    <xf numFmtId="164" fontId="6" fillId="0" borderId="6" xfId="0" applyNumberFormat="1" applyFont="1" applyBorder="1" applyProtection="1"/>
    <xf numFmtId="164" fontId="4" fillId="0" borderId="7" xfId="0" applyNumberFormat="1" applyFont="1" applyBorder="1" applyProtection="1"/>
    <xf numFmtId="164" fontId="4" fillId="0" borderId="6" xfId="0" applyNumberFormat="1" applyFont="1" applyBorder="1" applyProtection="1"/>
    <xf numFmtId="164" fontId="6" fillId="0" borderId="5" xfId="0" applyNumberFormat="1" applyFont="1" applyBorder="1" applyProtection="1"/>
    <xf numFmtId="164" fontId="2" fillId="0" borderId="6" xfId="0" applyNumberFormat="1" applyFont="1" applyBorder="1" applyProtection="1"/>
    <xf numFmtId="164" fontId="2" fillId="0" borderId="7" xfId="0" applyNumberFormat="1" applyFont="1" applyBorder="1" applyProtection="1"/>
    <xf numFmtId="2" fontId="2" fillId="0" borderId="6" xfId="0" applyNumberFormat="1" applyFont="1" applyBorder="1" applyProtection="1"/>
    <xf numFmtId="164" fontId="6" fillId="0" borderId="14" xfId="0" applyNumberFormat="1" applyFont="1" applyBorder="1" applyProtection="1"/>
    <xf numFmtId="43" fontId="2" fillId="0" borderId="0" xfId="0" applyNumberFormat="1" applyFont="1" applyBorder="1"/>
    <xf numFmtId="43" fontId="2" fillId="0" borderId="9" xfId="0" applyNumberFormat="1" applyFont="1" applyBorder="1"/>
    <xf numFmtId="39" fontId="7" fillId="0" borderId="9" xfId="0" applyNumberFormat="1" applyFont="1" applyBorder="1" applyProtection="1"/>
    <xf numFmtId="39" fontId="7" fillId="0" borderId="0" xfId="0" applyNumberFormat="1" applyFont="1"/>
    <xf numFmtId="0" fontId="7" fillId="0" borderId="0" xfId="0" applyFont="1"/>
    <xf numFmtId="165" fontId="5" fillId="0" borderId="5" xfId="1" applyNumberFormat="1" applyFont="1" applyBorder="1" applyProtection="1"/>
    <xf numFmtId="164" fontId="4" fillId="0" borderId="6" xfId="1" applyNumberFormat="1" applyFont="1" applyBorder="1" applyAlignment="1" applyProtection="1">
      <alignment horizontal="right"/>
    </xf>
    <xf numFmtId="164" fontId="4" fillId="0" borderId="6" xfId="1" applyFont="1" applyBorder="1" applyAlignment="1" applyProtection="1">
      <alignment horizontal="right"/>
    </xf>
    <xf numFmtId="164" fontId="4" fillId="0" borderId="5" xfId="0" applyNumberFormat="1" applyFont="1" applyBorder="1" applyProtection="1"/>
    <xf numFmtId="164" fontId="4" fillId="0" borderId="5" xfId="1" applyNumberFormat="1" applyFont="1" applyBorder="1" applyProtection="1"/>
    <xf numFmtId="15" fontId="4" fillId="0" borderId="0" xfId="0" quotePrefix="1" applyNumberFormat="1" applyFont="1"/>
    <xf numFmtId="39" fontId="5" fillId="0" borderId="0" xfId="0" applyNumberFormat="1" applyFont="1"/>
    <xf numFmtId="0" fontId="5" fillId="0" borderId="0" xfId="0" applyFont="1"/>
    <xf numFmtId="0" fontId="5" fillId="0" borderId="0" xfId="0" applyFont="1" applyBorder="1"/>
    <xf numFmtId="39" fontId="11" fillId="0" borderId="9" xfId="0" applyNumberFormat="1" applyFont="1" applyBorder="1" applyProtection="1"/>
    <xf numFmtId="0" fontId="7" fillId="0" borderId="0" xfId="0" applyFont="1" applyBorder="1"/>
    <xf numFmtId="165" fontId="7" fillId="0" borderId="6" xfId="1" applyNumberFormat="1" applyFont="1" applyBorder="1" applyProtection="1"/>
    <xf numFmtId="164" fontId="9" fillId="0" borderId="5" xfId="1" applyFont="1" applyBorder="1" applyProtection="1"/>
    <xf numFmtId="164" fontId="12" fillId="0" borderId="6" xfId="1" applyFont="1" applyBorder="1" applyProtection="1"/>
    <xf numFmtId="39" fontId="4" fillId="0" borderId="5" xfId="0" applyNumberFormat="1" applyFont="1" applyBorder="1" applyProtection="1"/>
    <xf numFmtId="2" fontId="4" fillId="0" borderId="7" xfId="0" applyNumberFormat="1" applyFont="1" applyBorder="1" applyAlignment="1" applyProtection="1">
      <alignment horizontal="right"/>
    </xf>
    <xf numFmtId="39" fontId="4" fillId="0" borderId="0" xfId="0" applyNumberFormat="1" applyFont="1" applyBorder="1" applyProtection="1"/>
    <xf numFmtId="0" fontId="4" fillId="0" borderId="12" xfId="0" applyFont="1" applyBorder="1" applyAlignment="1">
      <alignment horizontal="center"/>
    </xf>
    <xf numFmtId="164" fontId="4" fillId="0" borderId="7" xfId="1" applyNumberFormat="1" applyFont="1" applyBorder="1" applyAlignment="1" applyProtection="1">
      <alignment horizontal="center"/>
    </xf>
    <xf numFmtId="39" fontId="2" fillId="0" borderId="0" xfId="0" applyNumberFormat="1" applyFont="1" applyBorder="1" applyProtection="1"/>
    <xf numFmtId="165" fontId="2" fillId="0" borderId="6" xfId="1" applyNumberFormat="1" applyFont="1" applyBorder="1" applyProtection="1"/>
    <xf numFmtId="0" fontId="4" fillId="0" borderId="14" xfId="0" applyFont="1" applyBorder="1" applyAlignment="1">
      <alignment horizontal="left"/>
    </xf>
    <xf numFmtId="164" fontId="4" fillId="0" borderId="12" xfId="0" applyNumberFormat="1" applyFont="1" applyBorder="1" applyAlignment="1" applyProtection="1">
      <alignment horizont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165" fontId="4" fillId="0" borderId="15" xfId="1" applyNumberFormat="1" applyFont="1" applyBorder="1" applyAlignment="1" applyProtection="1">
      <alignment horizontal="center"/>
    </xf>
    <xf numFmtId="164" fontId="2" fillId="0" borderId="6" xfId="1" applyNumberFormat="1" applyFont="1" applyBorder="1" applyProtection="1"/>
    <xf numFmtId="164" fontId="4" fillId="0" borderId="15" xfId="1" applyFont="1" applyBorder="1" applyAlignment="1" applyProtection="1">
      <alignment horizontal="center"/>
    </xf>
    <xf numFmtId="0" fontId="4" fillId="0" borderId="15" xfId="0" applyFont="1" applyBorder="1" applyAlignment="1" applyProtection="1">
      <alignment horizontal="right"/>
    </xf>
    <xf numFmtId="0" fontId="4" fillId="0" borderId="15" xfId="0" applyFont="1" applyBorder="1" applyAlignment="1" applyProtection="1">
      <alignment horizontal="center"/>
    </xf>
    <xf numFmtId="164" fontId="4" fillId="0" borderId="15" xfId="0" applyNumberFormat="1" applyFont="1" applyBorder="1" applyAlignment="1" applyProtection="1">
      <alignment horizontal="center"/>
    </xf>
    <xf numFmtId="164" fontId="13" fillId="0" borderId="6" xfId="1" applyFont="1" applyBorder="1" applyProtection="1"/>
    <xf numFmtId="0" fontId="15" fillId="0" borderId="6" xfId="0" applyFont="1" applyBorder="1"/>
    <xf numFmtId="166" fontId="15" fillId="0" borderId="6" xfId="1" applyNumberFormat="1" applyFont="1" applyBorder="1" applyAlignment="1">
      <alignment horizontal="center"/>
    </xf>
    <xf numFmtId="164" fontId="15" fillId="0" borderId="7" xfId="1" applyFont="1" applyBorder="1" applyAlignment="1">
      <alignment horizontal="right"/>
    </xf>
    <xf numFmtId="165" fontId="15" fillId="0" borderId="6" xfId="1" applyNumberFormat="1" applyFont="1" applyBorder="1" applyProtection="1"/>
    <xf numFmtId="164" fontId="15" fillId="0" borderId="6" xfId="1" applyNumberFormat="1" applyFont="1" applyBorder="1" applyAlignment="1" applyProtection="1">
      <alignment horizontal="center"/>
    </xf>
    <xf numFmtId="164" fontId="15" fillId="0" borderId="6" xfId="1" applyFont="1" applyBorder="1" applyProtection="1"/>
    <xf numFmtId="164" fontId="15" fillId="0" borderId="6" xfId="0" applyNumberFormat="1" applyFont="1" applyBorder="1" applyProtection="1"/>
    <xf numFmtId="37" fontId="15" fillId="0" borderId="6" xfId="0" applyNumberFormat="1" applyFont="1" applyBorder="1" applyProtection="1"/>
    <xf numFmtId="164" fontId="15" fillId="0" borderId="5" xfId="0" applyNumberFormat="1" applyFont="1" applyBorder="1" applyAlignment="1" applyProtection="1">
      <alignment horizontal="center"/>
    </xf>
    <xf numFmtId="39" fontId="15" fillId="0" borderId="9" xfId="0" applyNumberFormat="1" applyFont="1" applyBorder="1" applyProtection="1"/>
    <xf numFmtId="39" fontId="15" fillId="0" borderId="0" xfId="0" applyNumberFormat="1" applyFont="1"/>
    <xf numFmtId="0" fontId="15" fillId="0" borderId="0" xfId="0" applyFont="1"/>
    <xf numFmtId="0" fontId="15" fillId="0" borderId="6" xfId="0" applyFont="1" applyBorder="1" applyAlignment="1">
      <alignment horizontal="left"/>
    </xf>
    <xf numFmtId="165" fontId="15" fillId="0" borderId="5" xfId="1" applyNumberFormat="1" applyFont="1" applyBorder="1" applyProtection="1"/>
    <xf numFmtId="2" fontId="15" fillId="0" borderId="6" xfId="0" applyNumberFormat="1" applyFont="1" applyBorder="1" applyAlignment="1" applyProtection="1">
      <alignment horizontal="right"/>
    </xf>
    <xf numFmtId="43" fontId="15" fillId="0" borderId="6" xfId="0" applyNumberFormat="1" applyFont="1" applyBorder="1"/>
    <xf numFmtId="39" fontId="15" fillId="0" borderId="6" xfId="0" applyNumberFormat="1" applyFont="1" applyBorder="1" applyProtection="1"/>
    <xf numFmtId="0" fontId="15" fillId="0" borderId="6" xfId="0" applyFont="1" applyBorder="1" applyAlignment="1">
      <alignment horizontal="center"/>
    </xf>
    <xf numFmtId="164" fontId="15" fillId="0" borderId="6" xfId="1" applyFont="1" applyBorder="1" applyAlignment="1">
      <alignment horizontal="right"/>
    </xf>
    <xf numFmtId="43" fontId="15" fillId="0" borderId="5" xfId="0" applyNumberFormat="1" applyFont="1" applyBorder="1"/>
    <xf numFmtId="0" fontId="15" fillId="0" borderId="0" xfId="0" applyFont="1" applyBorder="1"/>
    <xf numFmtId="164" fontId="15" fillId="0" borderId="6" xfId="1" applyFont="1" applyBorder="1" applyAlignment="1">
      <alignment horizontal="right" vertical="center" wrapText="1"/>
    </xf>
    <xf numFmtId="164" fontId="15" fillId="0" borderId="6" xfId="0" applyNumberFormat="1" applyFont="1" applyBorder="1" applyAlignment="1" applyProtection="1">
      <alignment horizontal="center"/>
    </xf>
    <xf numFmtId="164" fontId="16" fillId="0" borderId="7" xfId="1" applyNumberFormat="1" applyFont="1" applyBorder="1" applyProtection="1"/>
    <xf numFmtId="164" fontId="17" fillId="0" borderId="6" xfId="1" applyFont="1" applyBorder="1" applyProtection="1"/>
    <xf numFmtId="166" fontId="2" fillId="0" borderId="8" xfId="0" applyNumberFormat="1" applyFont="1" applyBorder="1" applyAlignment="1">
      <alignment horizontal="center"/>
    </xf>
    <xf numFmtId="164" fontId="18" fillId="0" borderId="6" xfId="1" applyFont="1" applyBorder="1" applyProtection="1"/>
    <xf numFmtId="164" fontId="18" fillId="0" borderId="7" xfId="1" applyFont="1" applyBorder="1" applyProtection="1"/>
    <xf numFmtId="164" fontId="19" fillId="0" borderId="7" xfId="1" applyFont="1" applyBorder="1" applyProtection="1"/>
    <xf numFmtId="164" fontId="19" fillId="0" borderId="6" xfId="1" applyFont="1" applyBorder="1" applyProtection="1"/>
    <xf numFmtId="164" fontId="20" fillId="0" borderId="7" xfId="1" applyFont="1" applyBorder="1" applyProtection="1"/>
    <xf numFmtId="164" fontId="4" fillId="0" borderId="5" xfId="1" applyNumberFormat="1" applyFont="1" applyBorder="1" applyAlignment="1" applyProtection="1">
      <alignment horizontal="center"/>
    </xf>
    <xf numFmtId="2" fontId="4" fillId="0" borderId="5" xfId="0" applyNumberFormat="1" applyFont="1" applyBorder="1" applyAlignment="1" applyProtection="1">
      <alignment horizontal="right"/>
    </xf>
    <xf numFmtId="0" fontId="10" fillId="0" borderId="0" xfId="0" applyFont="1" applyBorder="1"/>
    <xf numFmtId="165" fontId="2" fillId="0" borderId="12" xfId="1" applyNumberFormat="1" applyFont="1" applyBorder="1" applyProtection="1"/>
    <xf numFmtId="2" fontId="2" fillId="0" borderId="7" xfId="0" applyNumberFormat="1" applyFont="1" applyBorder="1" applyProtection="1"/>
    <xf numFmtId="43" fontId="4" fillId="0" borderId="7" xfId="0" applyNumberFormat="1" applyFont="1" applyBorder="1"/>
    <xf numFmtId="164" fontId="4" fillId="0" borderId="12" xfId="1" applyNumberFormat="1" applyFont="1" applyBorder="1" applyProtection="1"/>
    <xf numFmtId="2" fontId="4" fillId="0" borderId="6" xfId="0" applyNumberFormat="1" applyFont="1" applyBorder="1" applyProtection="1"/>
    <xf numFmtId="164" fontId="21" fillId="0" borderId="0" xfId="1" applyNumberFormat="1" applyFont="1"/>
    <xf numFmtId="164" fontId="21" fillId="0" borderId="0" xfId="1" applyFont="1"/>
    <xf numFmtId="2" fontId="21" fillId="0" borderId="0" xfId="0" applyNumberFormat="1" applyFont="1"/>
    <xf numFmtId="0" fontId="21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6" fontId="4" fillId="0" borderId="0" xfId="0" applyNumberFormat="1" applyFont="1" applyBorder="1"/>
    <xf numFmtId="164" fontId="4" fillId="0" borderId="0" xfId="1" applyFont="1" applyBorder="1"/>
    <xf numFmtId="0" fontId="14" fillId="0" borderId="0" xfId="0" applyFont="1"/>
    <xf numFmtId="164" fontId="14" fillId="0" borderId="0" xfId="1" applyFont="1"/>
    <xf numFmtId="0" fontId="14" fillId="0" borderId="9" xfId="0" applyFont="1" applyBorder="1"/>
    <xf numFmtId="0" fontId="14" fillId="0" borderId="17" xfId="0" applyFont="1" applyBorder="1"/>
    <xf numFmtId="0" fontId="14" fillId="0" borderId="18" xfId="0" applyFont="1" applyBorder="1"/>
    <xf numFmtId="164" fontId="14" fillId="0" borderId="17" xfId="1" applyFont="1" applyBorder="1"/>
    <xf numFmtId="164" fontId="14" fillId="0" borderId="19" xfId="1" applyFont="1" applyBorder="1"/>
    <xf numFmtId="0" fontId="14" fillId="0" borderId="6" xfId="0" applyFont="1" applyBorder="1"/>
    <xf numFmtId="0" fontId="14" fillId="0" borderId="13" xfId="0" applyFont="1" applyBorder="1"/>
    <xf numFmtId="164" fontId="14" fillId="0" borderId="6" xfId="1" applyFont="1" applyBorder="1"/>
    <xf numFmtId="164" fontId="14" fillId="0" borderId="15" xfId="1" applyFont="1" applyBorder="1"/>
    <xf numFmtId="0" fontId="14" fillId="0" borderId="14" xfId="0" applyFont="1" applyBorder="1"/>
    <xf numFmtId="0" fontId="14" fillId="0" borderId="20" xfId="0" applyFont="1" applyBorder="1"/>
    <xf numFmtId="164" fontId="14" fillId="0" borderId="14" xfId="1" applyFont="1" applyBorder="1"/>
    <xf numFmtId="164" fontId="14" fillId="0" borderId="21" xfId="1" applyFont="1" applyBorder="1"/>
    <xf numFmtId="0" fontId="14" fillId="0" borderId="0" xfId="0" applyFont="1" applyAlignment="1" applyProtection="1">
      <alignment horizontal="center"/>
    </xf>
    <xf numFmtId="164" fontId="22" fillId="0" borderId="0" xfId="1" applyFont="1" applyAlignment="1" applyProtection="1"/>
    <xf numFmtId="164" fontId="14" fillId="0" borderId="0" xfId="1" applyNumberFormat="1" applyFont="1"/>
    <xf numFmtId="164" fontId="23" fillId="0" borderId="0" xfId="1" applyFont="1"/>
    <xf numFmtId="0" fontId="14" fillId="0" borderId="0" xfId="0" applyFont="1" applyAlignment="1">
      <alignment horizontal="center"/>
    </xf>
    <xf numFmtId="0" fontId="25" fillId="0" borderId="0" xfId="0" applyFont="1"/>
    <xf numFmtId="0" fontId="26" fillId="0" borderId="10" xfId="0" applyFont="1" applyBorder="1" applyAlignment="1" applyProtection="1">
      <alignment horizontal="center"/>
    </xf>
    <xf numFmtId="0" fontId="14" fillId="0" borderId="1" xfId="0" applyFont="1" applyBorder="1" applyAlignment="1" applyProtection="1">
      <alignment horizontal="center"/>
    </xf>
    <xf numFmtId="0" fontId="26" fillId="0" borderId="4" xfId="0" applyFont="1" applyBorder="1" applyAlignment="1" applyProtection="1">
      <alignment horizontal="center"/>
    </xf>
    <xf numFmtId="164" fontId="26" fillId="0" borderId="2" xfId="1" applyNumberFormat="1" applyFont="1" applyBorder="1" applyAlignment="1" applyProtection="1">
      <alignment horizontal="center"/>
    </xf>
    <xf numFmtId="164" fontId="26" fillId="0" borderId="2" xfId="1" applyFont="1" applyBorder="1" applyAlignment="1" applyProtection="1">
      <alignment horizontal="center"/>
    </xf>
    <xf numFmtId="0" fontId="26" fillId="0" borderId="2" xfId="0" applyFont="1" applyBorder="1" applyAlignment="1" applyProtection="1">
      <alignment horizontal="center"/>
    </xf>
    <xf numFmtId="0" fontId="14" fillId="0" borderId="2" xfId="0" applyFont="1" applyBorder="1" applyAlignment="1" applyProtection="1">
      <alignment horizontal="center"/>
    </xf>
    <xf numFmtId="0" fontId="14" fillId="0" borderId="4" xfId="0" applyFont="1" applyBorder="1" applyAlignment="1" applyProtection="1">
      <alignment horizontal="center"/>
    </xf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7" fillId="0" borderId="6" xfId="0" applyFont="1" applyBorder="1" applyAlignment="1">
      <alignment horizontal="left"/>
    </xf>
    <xf numFmtId="164" fontId="27" fillId="0" borderId="6" xfId="1" applyFont="1" applyBorder="1" applyAlignment="1">
      <alignment horizontal="right"/>
    </xf>
    <xf numFmtId="164" fontId="27" fillId="0" borderId="7" xfId="1" applyNumberFormat="1" applyFont="1" applyBorder="1" applyProtection="1"/>
    <xf numFmtId="2" fontId="27" fillId="0" borderId="6" xfId="0" applyNumberFormat="1" applyFont="1" applyBorder="1" applyAlignment="1" applyProtection="1">
      <alignment horizontal="right"/>
    </xf>
    <xf numFmtId="37" fontId="14" fillId="0" borderId="6" xfId="0" applyNumberFormat="1" applyFont="1" applyBorder="1" applyProtection="1"/>
    <xf numFmtId="37" fontId="25" fillId="0" borderId="6" xfId="0" applyNumberFormat="1" applyFont="1" applyBorder="1" applyProtection="1"/>
    <xf numFmtId="43" fontId="27" fillId="0" borderId="6" xfId="0" applyNumberFormat="1" applyFont="1" applyBorder="1"/>
    <xf numFmtId="39" fontId="27" fillId="0" borderId="6" xfId="0" applyNumberFormat="1" applyFont="1" applyBorder="1" applyProtection="1"/>
    <xf numFmtId="39" fontId="14" fillId="0" borderId="9" xfId="0" applyNumberFormat="1" applyFont="1" applyBorder="1" applyProtection="1"/>
    <xf numFmtId="39" fontId="14" fillId="0" borderId="0" xfId="0" applyNumberFormat="1" applyFont="1"/>
    <xf numFmtId="166" fontId="27" fillId="0" borderId="6" xfId="1" applyNumberFormat="1" applyFont="1" applyBorder="1" applyAlignment="1">
      <alignment horizontal="center"/>
    </xf>
    <xf numFmtId="165" fontId="29" fillId="0" borderId="5" xfId="1" applyNumberFormat="1" applyFont="1" applyBorder="1" applyProtection="1"/>
    <xf numFmtId="164" fontId="27" fillId="0" borderId="6" xfId="1" applyFont="1" applyBorder="1" applyProtection="1"/>
    <xf numFmtId="37" fontId="27" fillId="0" borderId="6" xfId="0" applyNumberFormat="1" applyFont="1" applyBorder="1" applyProtection="1"/>
    <xf numFmtId="37" fontId="30" fillId="0" borderId="6" xfId="0" applyNumberFormat="1" applyFont="1" applyBorder="1" applyProtection="1"/>
    <xf numFmtId="39" fontId="27" fillId="0" borderId="9" xfId="0" applyNumberFormat="1" applyFont="1" applyBorder="1" applyProtection="1"/>
    <xf numFmtId="39" fontId="27" fillId="0" borderId="0" xfId="0" applyNumberFormat="1" applyFont="1"/>
    <xf numFmtId="0" fontId="27" fillId="0" borderId="0" xfId="0" applyFont="1"/>
    <xf numFmtId="0" fontId="27" fillId="0" borderId="7" xfId="0" applyFont="1" applyBorder="1"/>
    <xf numFmtId="0" fontId="27" fillId="0" borderId="7" xfId="0" applyFont="1" applyBorder="1" applyAlignment="1">
      <alignment horizontal="left"/>
    </xf>
    <xf numFmtId="166" fontId="27" fillId="0" borderId="7" xfId="1" applyNumberFormat="1" applyFont="1" applyBorder="1" applyAlignment="1">
      <alignment horizontal="center"/>
    </xf>
    <xf numFmtId="37" fontId="30" fillId="0" borderId="5" xfId="0" applyNumberFormat="1" applyFont="1" applyBorder="1" applyProtection="1"/>
    <xf numFmtId="164" fontId="27" fillId="0" borderId="5" xfId="0" applyNumberFormat="1" applyFont="1" applyBorder="1" applyAlignment="1" applyProtection="1">
      <alignment horizontal="center"/>
    </xf>
    <xf numFmtId="164" fontId="31" fillId="0" borderId="6" xfId="1" applyFont="1" applyBorder="1" applyProtection="1"/>
    <xf numFmtId="37" fontId="27" fillId="0" borderId="7" xfId="0" applyNumberFormat="1" applyFont="1" applyBorder="1" applyProtection="1"/>
    <xf numFmtId="37" fontId="30" fillId="0" borderId="7" xfId="0" applyNumberFormat="1" applyFont="1" applyBorder="1" applyProtection="1"/>
    <xf numFmtId="39" fontId="14" fillId="0" borderId="7" xfId="0" applyNumberFormat="1" applyFont="1" applyBorder="1" applyProtection="1"/>
    <xf numFmtId="39" fontId="25" fillId="0" borderId="7" xfId="0" applyNumberFormat="1" applyFont="1" applyBorder="1" applyProtection="1"/>
    <xf numFmtId="164" fontId="29" fillId="0" borderId="6" xfId="1" applyFont="1" applyBorder="1" applyProtection="1"/>
    <xf numFmtId="164" fontId="32" fillId="0" borderId="6" xfId="1" applyFont="1" applyBorder="1" applyProtection="1"/>
    <xf numFmtId="165" fontId="29" fillId="0" borderId="6" xfId="1" applyNumberFormat="1" applyFont="1" applyBorder="1" applyProtection="1"/>
    <xf numFmtId="164" fontId="33" fillId="0" borderId="6" xfId="1" applyFont="1" applyBorder="1" applyProtection="1"/>
    <xf numFmtId="164" fontId="27" fillId="0" borderId="6" xfId="0" applyNumberFormat="1" applyFont="1" applyBorder="1" applyProtection="1"/>
    <xf numFmtId="0" fontId="27" fillId="0" borderId="0" xfId="0" applyFont="1" applyBorder="1"/>
    <xf numFmtId="0" fontId="27" fillId="0" borderId="5" xfId="0" applyFont="1" applyBorder="1"/>
    <xf numFmtId="0" fontId="27" fillId="0" borderId="5" xfId="0" applyFont="1" applyBorder="1" applyAlignment="1"/>
    <xf numFmtId="166" fontId="27" fillId="0" borderId="5" xfId="1" applyNumberFormat="1" applyFont="1" applyBorder="1" applyAlignment="1">
      <alignment horizontal="center"/>
    </xf>
    <xf numFmtId="164" fontId="27" fillId="0" borderId="5" xfId="1" applyFont="1" applyBorder="1" applyAlignment="1">
      <alignment horizontal="right"/>
    </xf>
    <xf numFmtId="164" fontId="27" fillId="0" borderId="5" xfId="1" applyFont="1" applyBorder="1" applyProtection="1"/>
    <xf numFmtId="37" fontId="27" fillId="0" borderId="5" xfId="0" applyNumberFormat="1" applyFont="1" applyBorder="1" applyProtection="1"/>
    <xf numFmtId="37" fontId="14" fillId="0" borderId="7" xfId="0" applyNumberFormat="1" applyFont="1" applyBorder="1" applyProtection="1"/>
    <xf numFmtId="37" fontId="25" fillId="0" borderId="7" xfId="0" applyNumberFormat="1" applyFont="1" applyBorder="1" applyProtection="1"/>
    <xf numFmtId="0" fontId="23" fillId="0" borderId="0" xfId="0" applyFont="1" applyBorder="1"/>
    <xf numFmtId="39" fontId="23" fillId="0" borderId="0" xfId="0" applyNumberFormat="1" applyFont="1"/>
    <xf numFmtId="0" fontId="23" fillId="0" borderId="0" xfId="0" applyFont="1"/>
    <xf numFmtId="164" fontId="27" fillId="0" borderId="7" xfId="1" applyFont="1" applyBorder="1" applyAlignment="1">
      <alignment horizontal="right"/>
    </xf>
    <xf numFmtId="2" fontId="14" fillId="0" borderId="6" xfId="0" applyNumberFormat="1" applyFont="1" applyBorder="1" applyProtection="1"/>
    <xf numFmtId="39" fontId="24" fillId="0" borderId="9" xfId="0" applyNumberFormat="1" applyFont="1" applyBorder="1" applyProtection="1"/>
    <xf numFmtId="39" fontId="34" fillId="0" borderId="9" xfId="0" applyNumberFormat="1" applyFont="1" applyBorder="1" applyProtection="1"/>
    <xf numFmtId="39" fontId="30" fillId="0" borderId="0" xfId="0" applyNumberFormat="1" applyFont="1"/>
    <xf numFmtId="0" fontId="30" fillId="0" borderId="0" xfId="0" applyFont="1"/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27" fillId="0" borderId="8" xfId="0" applyFont="1" applyBorder="1"/>
    <xf numFmtId="166" fontId="27" fillId="0" borderId="8" xfId="0" applyNumberFormat="1" applyFont="1" applyBorder="1"/>
    <xf numFmtId="164" fontId="24" fillId="0" borderId="8" xfId="1" applyFont="1" applyBorder="1"/>
    <xf numFmtId="165" fontId="24" fillId="0" borderId="8" xfId="1" applyNumberFormat="1" applyFont="1" applyBorder="1"/>
    <xf numFmtId="164" fontId="27" fillId="0" borderId="9" xfId="1" applyFont="1" applyBorder="1"/>
    <xf numFmtId="164" fontId="14" fillId="0" borderId="0" xfId="1" applyFont="1" applyBorder="1"/>
    <xf numFmtId="39" fontId="14" fillId="0" borderId="0" xfId="0" applyNumberFormat="1" applyFont="1" applyBorder="1"/>
    <xf numFmtId="0" fontId="14" fillId="0" borderId="0" xfId="0" applyFont="1" applyBorder="1"/>
    <xf numFmtId="164" fontId="27" fillId="0" borderId="6" xfId="1" applyNumberFormat="1" applyFont="1" applyBorder="1" applyAlignment="1" applyProtection="1">
      <alignment horizontal="center"/>
    </xf>
    <xf numFmtId="0" fontId="27" fillId="0" borderId="5" xfId="0" applyFont="1" applyBorder="1" applyAlignment="1">
      <alignment horizontal="center"/>
    </xf>
    <xf numFmtId="164" fontId="27" fillId="0" borderId="6" xfId="1" applyFont="1" applyBorder="1" applyAlignment="1">
      <alignment horizontal="right" vertical="center" wrapText="1"/>
    </xf>
    <xf numFmtId="164" fontId="27" fillId="0" borderId="6" xfId="0" applyNumberFormat="1" applyFont="1" applyBorder="1" applyAlignment="1" applyProtection="1">
      <alignment horizontal="center"/>
    </xf>
    <xf numFmtId="0" fontId="27" fillId="0" borderId="6" xfId="0" applyFont="1" applyBorder="1" applyAlignment="1"/>
    <xf numFmtId="164" fontId="30" fillId="0" borderId="6" xfId="1" applyFont="1" applyBorder="1" applyAlignment="1">
      <alignment horizontal="right"/>
    </xf>
    <xf numFmtId="164" fontId="27" fillId="0" borderId="6" xfId="1" applyNumberFormat="1" applyFont="1" applyBorder="1" applyProtection="1"/>
    <xf numFmtId="0" fontId="24" fillId="0" borderId="0" xfId="0" applyFont="1" applyBorder="1"/>
    <xf numFmtId="0" fontId="27" fillId="0" borderId="5" xfId="0" applyFont="1" applyBorder="1" applyAlignment="1">
      <alignment horizontal="left"/>
    </xf>
    <xf numFmtId="164" fontId="31" fillId="0" borderId="5" xfId="1" applyFont="1" applyBorder="1" applyProtection="1"/>
    <xf numFmtId="2" fontId="27" fillId="0" borderId="5" xfId="0" applyNumberFormat="1" applyFont="1" applyBorder="1" applyAlignment="1" applyProtection="1">
      <alignment horizontal="right"/>
    </xf>
    <xf numFmtId="39" fontId="27" fillId="0" borderId="5" xfId="0" applyNumberFormat="1" applyFont="1" applyBorder="1" applyProtection="1"/>
    <xf numFmtId="0" fontId="27" fillId="0" borderId="7" xfId="0" applyFont="1" applyBorder="1" applyAlignment="1"/>
    <xf numFmtId="164" fontId="27" fillId="0" borderId="7" xfId="1" applyFont="1" applyBorder="1" applyProtection="1"/>
    <xf numFmtId="37" fontId="30" fillId="0" borderId="12" xfId="0" applyNumberFormat="1" applyFont="1" applyBorder="1" applyProtection="1"/>
    <xf numFmtId="164" fontId="27" fillId="0" borderId="6" xfId="1" applyFont="1" applyBorder="1"/>
    <xf numFmtId="39" fontId="26" fillId="0" borderId="9" xfId="0" applyNumberFormat="1" applyFont="1" applyBorder="1" applyProtection="1"/>
    <xf numFmtId="2" fontId="30" fillId="0" borderId="6" xfId="0" applyNumberFormat="1" applyFont="1" applyBorder="1" applyAlignment="1" applyProtection="1">
      <alignment horizontal="right"/>
    </xf>
    <xf numFmtId="0" fontId="30" fillId="0" borderId="0" xfId="0" applyFont="1" applyBorder="1"/>
    <xf numFmtId="0" fontId="27" fillId="0" borderId="5" xfId="0" applyFont="1" applyBorder="1" applyAlignment="1">
      <alignment horizontal="left" vertical="center"/>
    </xf>
    <xf numFmtId="165" fontId="27" fillId="0" borderId="5" xfId="1" applyNumberFormat="1" applyFont="1" applyBorder="1" applyAlignment="1">
      <alignment horizontal="center" vertical="center" wrapText="1"/>
    </xf>
    <xf numFmtId="164" fontId="27" fillId="0" borderId="5" xfId="1" applyFont="1" applyBorder="1" applyAlignment="1">
      <alignment vertical="center" wrapText="1"/>
    </xf>
    <xf numFmtId="164" fontId="29" fillId="0" borderId="11" xfId="1" applyFont="1" applyBorder="1" applyAlignment="1" applyProtection="1">
      <alignment horizontal="center"/>
    </xf>
    <xf numFmtId="0" fontId="14" fillId="0" borderId="8" xfId="0" applyFont="1" applyBorder="1"/>
    <xf numFmtId="166" fontId="14" fillId="0" borderId="8" xfId="0" applyNumberFormat="1" applyFont="1" applyBorder="1" applyAlignment="1">
      <alignment horizontal="center"/>
    </xf>
    <xf numFmtId="164" fontId="14" fillId="0" borderId="9" xfId="1" applyFont="1" applyBorder="1"/>
    <xf numFmtId="37" fontId="30" fillId="0" borderId="17" xfId="0" applyNumberFormat="1" applyFont="1" applyBorder="1" applyProtection="1"/>
    <xf numFmtId="39" fontId="30" fillId="0" borderId="5" xfId="0" applyNumberFormat="1" applyFont="1" applyBorder="1" applyProtection="1"/>
    <xf numFmtId="43" fontId="27" fillId="0" borderId="5" xfId="0" applyNumberFormat="1" applyFont="1" applyBorder="1"/>
    <xf numFmtId="164" fontId="27" fillId="0" borderId="5" xfId="1" applyFont="1" applyBorder="1"/>
    <xf numFmtId="37" fontId="14" fillId="0" borderId="5" xfId="0" applyNumberFormat="1" applyFont="1" applyBorder="1" applyProtection="1"/>
    <xf numFmtId="37" fontId="25" fillId="0" borderId="5" xfId="0" applyNumberFormat="1" applyFont="1" applyBorder="1" applyProtection="1"/>
    <xf numFmtId="0" fontId="26" fillId="0" borderId="0" xfId="0" applyFont="1" applyBorder="1"/>
    <xf numFmtId="164" fontId="32" fillId="0" borderId="7" xfId="1" applyFont="1" applyBorder="1" applyProtection="1"/>
    <xf numFmtId="164" fontId="30" fillId="0" borderId="6" xfId="1" applyNumberFormat="1" applyFont="1" applyBorder="1" applyAlignment="1" applyProtection="1">
      <alignment horizontal="center"/>
    </xf>
    <xf numFmtId="164" fontId="29" fillId="0" borderId="7" xfId="1" applyFont="1" applyBorder="1" applyProtection="1"/>
    <xf numFmtId="0" fontId="33" fillId="0" borderId="0" xfId="0" applyFont="1" applyBorder="1"/>
    <xf numFmtId="39" fontId="33" fillId="0" borderId="0" xfId="0" applyNumberFormat="1" applyFont="1"/>
    <xf numFmtId="0" fontId="33" fillId="0" borderId="0" xfId="0" applyFont="1"/>
    <xf numFmtId="164" fontId="35" fillId="0" borderId="6" xfId="0" applyNumberFormat="1" applyFont="1" applyBorder="1" applyProtection="1"/>
    <xf numFmtId="39" fontId="27" fillId="0" borderId="0" xfId="0" applyNumberFormat="1" applyFont="1" applyBorder="1" applyProtection="1"/>
    <xf numFmtId="0" fontId="27" fillId="0" borderId="16" xfId="0" applyFont="1" applyBorder="1" applyAlignment="1">
      <alignment horizontal="center"/>
    </xf>
    <xf numFmtId="166" fontId="14" fillId="0" borderId="8" xfId="0" applyNumberFormat="1" applyFont="1" applyBorder="1"/>
    <xf numFmtId="37" fontId="25" fillId="0" borderId="17" xfId="0" applyNumberFormat="1" applyFont="1" applyBorder="1" applyProtection="1"/>
    <xf numFmtId="0" fontId="27" fillId="0" borderId="13" xfId="0" applyFont="1" applyBorder="1" applyAlignment="1">
      <alignment horizontal="left"/>
    </xf>
    <xf numFmtId="164" fontId="27" fillId="0" borderId="6" xfId="1" applyFont="1" applyBorder="1" applyAlignment="1" applyProtection="1">
      <alignment horizontal="right"/>
    </xf>
    <xf numFmtId="37" fontId="27" fillId="0" borderId="12" xfId="0" applyNumberFormat="1" applyFont="1" applyBorder="1" applyProtection="1"/>
    <xf numFmtId="164" fontId="31" fillId="0" borderId="7" xfId="1" applyFont="1" applyBorder="1" applyProtection="1"/>
    <xf numFmtId="39" fontId="33" fillId="0" borderId="9" xfId="0" applyNumberFormat="1" applyFont="1" applyBorder="1" applyProtection="1"/>
    <xf numFmtId="39" fontId="25" fillId="0" borderId="6" xfId="0" applyNumberFormat="1" applyFont="1" applyBorder="1" applyProtection="1"/>
    <xf numFmtId="164" fontId="37" fillId="0" borderId="7" xfId="1" applyFont="1" applyBorder="1" applyProtection="1"/>
    <xf numFmtId="164" fontId="14" fillId="0" borderId="7" xfId="0" applyNumberFormat="1" applyFont="1" applyBorder="1" applyProtection="1"/>
    <xf numFmtId="165" fontId="35" fillId="0" borderId="6" xfId="0" applyNumberFormat="1" applyFont="1" applyBorder="1" applyProtection="1"/>
    <xf numFmtId="39" fontId="27" fillId="0" borderId="7" xfId="0" applyNumberFormat="1" applyFont="1" applyBorder="1" applyProtection="1"/>
    <xf numFmtId="39" fontId="30" fillId="0" borderId="6" xfId="0" applyNumberFormat="1" applyFont="1" applyBorder="1" applyProtection="1"/>
    <xf numFmtId="164" fontId="30" fillId="0" borderId="5" xfId="0" applyNumberFormat="1" applyFont="1" applyBorder="1" applyProtection="1"/>
    <xf numFmtId="165" fontId="27" fillId="0" borderId="6" xfId="0" applyNumberFormat="1" applyFont="1" applyBorder="1" applyProtection="1"/>
    <xf numFmtId="164" fontId="27" fillId="0" borderId="12" xfId="1" applyFont="1" applyBorder="1" applyAlignment="1">
      <alignment horizontal="right" vertical="center" wrapText="1"/>
    </xf>
    <xf numFmtId="165" fontId="29" fillId="0" borderId="12" xfId="1" applyNumberFormat="1" applyFont="1" applyBorder="1" applyProtection="1"/>
    <xf numFmtId="164" fontId="31" fillId="0" borderId="12" xfId="1" applyFont="1" applyBorder="1" applyProtection="1"/>
    <xf numFmtId="164" fontId="27" fillId="0" borderId="12" xfId="0" applyNumberFormat="1" applyFont="1" applyBorder="1" applyAlignment="1" applyProtection="1">
      <alignment horizontal="center"/>
    </xf>
    <xf numFmtId="0" fontId="27" fillId="0" borderId="6" xfId="0" applyFont="1" applyBorder="1" applyAlignment="1">
      <alignment horizontal="left" vertical="center"/>
    </xf>
    <xf numFmtId="0" fontId="27" fillId="0" borderId="6" xfId="0" applyFont="1" applyBorder="1" applyAlignment="1">
      <alignment horizontal="center" vertical="center" wrapText="1"/>
    </xf>
    <xf numFmtId="164" fontId="27" fillId="0" borderId="15" xfId="1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center"/>
    </xf>
    <xf numFmtId="0" fontId="30" fillId="0" borderId="6" xfId="0" applyFont="1" applyBorder="1" applyAlignment="1" applyProtection="1">
      <alignment horizontal="center"/>
    </xf>
    <xf numFmtId="0" fontId="27" fillId="0" borderId="12" xfId="0" applyFont="1" applyBorder="1" applyAlignment="1">
      <alignment horizontal="center"/>
    </xf>
    <xf numFmtId="164" fontId="38" fillId="0" borderId="8" xfId="1" applyFont="1" applyBorder="1"/>
    <xf numFmtId="165" fontId="38" fillId="0" borderId="8" xfId="1" applyNumberFormat="1" applyFont="1" applyBorder="1"/>
    <xf numFmtId="164" fontId="30" fillId="0" borderId="6" xfId="1" applyFont="1" applyBorder="1" applyProtection="1"/>
    <xf numFmtId="39" fontId="14" fillId="0" borderId="0" xfId="0" applyNumberFormat="1" applyFont="1" applyBorder="1" applyProtection="1"/>
    <xf numFmtId="164" fontId="27" fillId="0" borderId="5" xfId="1" applyFont="1" applyBorder="1" applyAlignment="1">
      <alignment horizontal="right" vertical="center" wrapText="1"/>
    </xf>
    <xf numFmtId="2" fontId="14" fillId="0" borderId="7" xfId="0" applyNumberFormat="1" applyFont="1" applyBorder="1" applyProtection="1"/>
    <xf numFmtId="39" fontId="30" fillId="0" borderId="9" xfId="0" applyNumberFormat="1" applyFont="1" applyBorder="1" applyProtection="1"/>
    <xf numFmtId="0" fontId="27" fillId="0" borderId="12" xfId="0" applyFont="1" applyBorder="1"/>
    <xf numFmtId="0" fontId="27" fillId="0" borderId="12" xfId="0" applyFont="1" applyBorder="1" applyAlignment="1">
      <alignment horizontal="left"/>
    </xf>
    <xf numFmtId="166" fontId="27" fillId="0" borderId="12" xfId="1" applyNumberFormat="1" applyFont="1" applyBorder="1" applyAlignment="1">
      <alignment horizontal="center"/>
    </xf>
    <xf numFmtId="164" fontId="27" fillId="0" borderId="12" xfId="1" applyFont="1" applyBorder="1" applyAlignment="1">
      <alignment horizontal="right"/>
    </xf>
    <xf numFmtId="164" fontId="27" fillId="0" borderId="12" xfId="1" applyNumberFormat="1" applyFont="1" applyBorder="1" applyProtection="1"/>
    <xf numFmtId="164" fontId="33" fillId="0" borderId="12" xfId="1" applyFont="1" applyBorder="1" applyProtection="1"/>
    <xf numFmtId="164" fontId="35" fillId="0" borderId="12" xfId="0" applyNumberFormat="1" applyFont="1" applyBorder="1" applyProtection="1"/>
    <xf numFmtId="0" fontId="14" fillId="0" borderId="0" xfId="0" applyFont="1" applyAlignment="1">
      <alignment horizontal="left"/>
    </xf>
    <xf numFmtId="15" fontId="14" fillId="0" borderId="0" xfId="0" applyNumberFormat="1" applyFont="1"/>
    <xf numFmtId="43" fontId="14" fillId="0" borderId="0" xfId="0" applyNumberFormat="1" applyFont="1"/>
    <xf numFmtId="0" fontId="28" fillId="0" borderId="0" xfId="0" applyFont="1"/>
    <xf numFmtId="43" fontId="39" fillId="0" borderId="0" xfId="1" applyNumberFormat="1" applyFont="1"/>
    <xf numFmtId="164" fontId="39" fillId="0" borderId="0" xfId="0" applyNumberFormat="1" applyFont="1"/>
    <xf numFmtId="165" fontId="24" fillId="0" borderId="0" xfId="1" applyNumberFormat="1" applyFont="1"/>
    <xf numFmtId="164" fontId="39" fillId="0" borderId="0" xfId="1" applyFont="1"/>
    <xf numFmtId="164" fontId="40" fillId="0" borderId="0" xfId="1" applyFont="1"/>
    <xf numFmtId="0" fontId="24" fillId="0" borderId="0" xfId="0" applyFont="1"/>
    <xf numFmtId="164" fontId="14" fillId="0" borderId="0" xfId="0" applyNumberFormat="1" applyFont="1"/>
    <xf numFmtId="165" fontId="36" fillId="0" borderId="8" xfId="1" applyNumberFormat="1" applyFont="1" applyBorder="1"/>
    <xf numFmtId="164" fontId="41" fillId="0" borderId="6" xfId="1" applyFont="1" applyBorder="1" applyProtection="1"/>
    <xf numFmtId="164" fontId="37" fillId="0" borderId="6" xfId="1" applyFont="1" applyBorder="1" applyProtection="1"/>
    <xf numFmtId="0" fontId="27" fillId="0" borderId="0" xfId="0" applyFont="1" applyAlignment="1" applyProtection="1"/>
    <xf numFmtId="164" fontId="27" fillId="0" borderId="0" xfId="1" applyFont="1"/>
    <xf numFmtId="164" fontId="27" fillId="0" borderId="0" xfId="1" applyNumberFormat="1" applyFont="1" applyAlignment="1" applyProtection="1">
      <alignment horizontal="center"/>
    </xf>
    <xf numFmtId="164" fontId="33" fillId="0" borderId="0" xfId="1" applyFont="1"/>
    <xf numFmtId="0" fontId="27" fillId="0" borderId="0" xfId="0" applyFont="1" applyAlignment="1" applyProtection="1">
      <alignment horizontal="center"/>
    </xf>
    <xf numFmtId="164" fontId="27" fillId="0" borderId="0" xfId="1" applyNumberFormat="1" applyFont="1" applyAlignment="1"/>
    <xf numFmtId="164" fontId="27" fillId="0" borderId="0" xfId="1" applyFont="1" applyAlignment="1" applyProtection="1">
      <alignment horizontal="left"/>
    </xf>
    <xf numFmtId="0" fontId="27" fillId="0" borderId="0" xfId="0" applyFont="1" applyAlignment="1">
      <alignment horizontal="center"/>
    </xf>
    <xf numFmtId="164" fontId="38" fillId="0" borderId="0" xfId="1" applyNumberFormat="1" applyFont="1"/>
    <xf numFmtId="164" fontId="42" fillId="0" borderId="0" xfId="1" applyFont="1"/>
    <xf numFmtId="164" fontId="30" fillId="0" borderId="6" xfId="0" applyNumberFormat="1" applyFont="1" applyBorder="1" applyAlignment="1" applyProtection="1">
      <alignment horizontal="center"/>
    </xf>
    <xf numFmtId="43" fontId="30" fillId="0" borderId="5" xfId="0" applyNumberFormat="1" applyFont="1" applyBorder="1"/>
    <xf numFmtId="39" fontId="25" fillId="0" borderId="0" xfId="0" applyNumberFormat="1" applyFont="1"/>
    <xf numFmtId="164" fontId="30" fillId="0" borderId="5" xfId="1" applyFont="1" applyBorder="1" applyProtection="1"/>
    <xf numFmtId="2" fontId="30" fillId="0" borderId="5" xfId="0" applyNumberFormat="1" applyFont="1" applyBorder="1" applyAlignment="1" applyProtection="1">
      <alignment horizontal="right"/>
    </xf>
    <xf numFmtId="39" fontId="25" fillId="0" borderId="9" xfId="0" applyNumberFormat="1" applyFont="1" applyBorder="1" applyProtection="1"/>
    <xf numFmtId="39" fontId="30" fillId="0" borderId="0" xfId="0" applyNumberFormat="1" applyFont="1" applyBorder="1" applyProtection="1"/>
    <xf numFmtId="164" fontId="27" fillId="0" borderId="17" xfId="1" applyFont="1" applyBorder="1" applyAlignment="1">
      <alignment horizontal="right"/>
    </xf>
    <xf numFmtId="15" fontId="26" fillId="0" borderId="0" xfId="0" quotePrefix="1" applyNumberFormat="1" applyFont="1"/>
    <xf numFmtId="0" fontId="39" fillId="0" borderId="0" xfId="0" applyFont="1"/>
    <xf numFmtId="39" fontId="36" fillId="0" borderId="9" xfId="0" applyNumberFormat="1" applyFont="1" applyBorder="1" applyProtection="1"/>
    <xf numFmtId="165" fontId="43" fillId="0" borderId="6" xfId="1" applyNumberFormat="1" applyFont="1" applyBorder="1" applyProtection="1"/>
    <xf numFmtId="164" fontId="29" fillId="0" borderId="5" xfId="1" applyNumberFormat="1" applyFont="1" applyBorder="1" applyProtection="1"/>
    <xf numFmtId="165" fontId="43" fillId="0" borderId="5" xfId="1" applyNumberFormat="1" applyFont="1" applyBorder="1" applyProtection="1"/>
    <xf numFmtId="39" fontId="38" fillId="0" borderId="9" xfId="0" applyNumberFormat="1" applyFont="1" applyBorder="1" applyProtection="1"/>
    <xf numFmtId="164" fontId="29" fillId="0" borderId="5" xfId="1" applyFont="1" applyBorder="1" applyProtection="1"/>
    <xf numFmtId="164" fontId="26" fillId="0" borderId="8" xfId="1" applyFont="1" applyBorder="1"/>
    <xf numFmtId="164" fontId="44" fillId="0" borderId="7" xfId="1" applyFont="1" applyBorder="1" applyProtection="1"/>
    <xf numFmtId="164" fontId="38" fillId="0" borderId="8" xfId="1" applyNumberFormat="1" applyFont="1" applyBorder="1"/>
    <xf numFmtId="164" fontId="26" fillId="0" borderId="8" xfId="1" applyNumberFormat="1" applyFont="1" applyBorder="1"/>
    <xf numFmtId="165" fontId="29" fillId="0" borderId="17" xfId="1" applyNumberFormat="1" applyFont="1" applyBorder="1" applyProtection="1"/>
    <xf numFmtId="2" fontId="24" fillId="0" borderId="0" xfId="0" applyNumberFormat="1" applyFont="1"/>
    <xf numFmtId="2" fontId="27" fillId="0" borderId="7" xfId="0" applyNumberFormat="1" applyFont="1" applyBorder="1" applyAlignment="1" applyProtection="1">
      <alignment horizontal="right"/>
    </xf>
    <xf numFmtId="164" fontId="45" fillId="0" borderId="7" xfId="1" applyFont="1" applyBorder="1" applyProtection="1"/>
    <xf numFmtId="0" fontId="2" fillId="0" borderId="22" xfId="0" applyFont="1" applyBorder="1" applyAlignment="1">
      <alignment horizont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</xf>
    <xf numFmtId="164" fontId="2" fillId="0" borderId="10" xfId="1" applyFont="1" applyBorder="1" applyAlignment="1" applyProtection="1">
      <alignment horizontal="center" vertical="center" wrapText="1"/>
    </xf>
    <xf numFmtId="164" fontId="2" fillId="0" borderId="4" xfId="1" applyFont="1" applyBorder="1" applyAlignment="1" applyProtection="1">
      <alignment horizontal="center" vertical="center" wrapText="1"/>
    </xf>
    <xf numFmtId="165" fontId="2" fillId="0" borderId="23" xfId="1" applyNumberFormat="1" applyFont="1" applyBorder="1" applyAlignment="1" applyProtection="1">
      <alignment horizontal="center" vertical="center"/>
    </xf>
    <xf numFmtId="165" fontId="2" fillId="0" borderId="24" xfId="1" applyNumberFormat="1" applyFont="1" applyBorder="1" applyAlignment="1" applyProtection="1">
      <alignment horizontal="center" vertical="center"/>
    </xf>
    <xf numFmtId="165" fontId="2" fillId="0" borderId="3" xfId="1" applyNumberFormat="1" applyFont="1" applyBorder="1" applyAlignment="1" applyProtection="1">
      <alignment horizontal="center" vertical="center"/>
    </xf>
    <xf numFmtId="0" fontId="14" fillId="0" borderId="22" xfId="0" applyFont="1" applyBorder="1" applyAlignment="1">
      <alignment horizontal="center"/>
    </xf>
    <xf numFmtId="0" fontId="14" fillId="0" borderId="10" xfId="0" applyFont="1" applyBorder="1" applyAlignment="1" applyProtection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0" xfId="0" applyFont="1" applyBorder="1" applyAlignment="1" applyProtection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 wrapText="1"/>
    </xf>
    <xf numFmtId="164" fontId="14" fillId="0" borderId="10" xfId="1" applyFont="1" applyBorder="1" applyAlignment="1" applyProtection="1">
      <alignment horizontal="center" vertical="center" wrapText="1"/>
    </xf>
    <xf numFmtId="164" fontId="14" fillId="0" borderId="4" xfId="1" applyFont="1" applyBorder="1" applyAlignment="1" applyProtection="1">
      <alignment horizontal="center" vertical="center" wrapText="1"/>
    </xf>
    <xf numFmtId="165" fontId="14" fillId="0" borderId="23" xfId="1" applyNumberFormat="1" applyFont="1" applyBorder="1" applyAlignment="1" applyProtection="1">
      <alignment horizontal="center" vertical="center"/>
    </xf>
    <xf numFmtId="165" fontId="14" fillId="0" borderId="24" xfId="1" applyNumberFormat="1" applyFont="1" applyBorder="1" applyAlignment="1" applyProtection="1">
      <alignment horizontal="center" vertical="center"/>
    </xf>
    <xf numFmtId="165" fontId="14" fillId="0" borderId="3" xfId="1" applyNumberFormat="1" applyFont="1" applyBorder="1" applyAlignment="1" applyProtection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1"/>
  <sheetViews>
    <sheetView view="pageBreakPreview" topLeftCell="B1" zoomScaleNormal="100" workbookViewId="0">
      <selection activeCell="D10" sqref="D10"/>
    </sheetView>
  </sheetViews>
  <sheetFormatPr defaultColWidth="11" defaultRowHeight="23.2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5" ht="23.25" customHeight="1">
      <c r="A1" s="4" t="s">
        <v>185</v>
      </c>
      <c r="E1" s="65" t="s">
        <v>186</v>
      </c>
    </row>
    <row r="2" spans="1:15" ht="23.25" customHeight="1">
      <c r="A2" s="4"/>
      <c r="E2" s="66"/>
    </row>
    <row r="3" spans="1:15" ht="23.25" customHeight="1">
      <c r="A3" s="5" t="s">
        <v>187</v>
      </c>
      <c r="F3" s="5" t="s">
        <v>183</v>
      </c>
      <c r="G3" s="28"/>
      <c r="I3" s="4"/>
    </row>
    <row r="4" spans="1:15" ht="23.25" customHeight="1">
      <c r="A4" s="5" t="s">
        <v>188</v>
      </c>
      <c r="F4" s="5" t="s">
        <v>209</v>
      </c>
      <c r="G4" s="28"/>
      <c r="I4" s="5"/>
      <c r="J4" s="5"/>
      <c r="K4" s="5"/>
      <c r="L4" s="153" t="s">
        <v>525</v>
      </c>
    </row>
    <row r="5" spans="1:15" ht="23.25" customHeight="1">
      <c r="A5" s="5" t="s">
        <v>189</v>
      </c>
      <c r="F5" s="1" t="s">
        <v>526</v>
      </c>
      <c r="G5" s="29"/>
      <c r="H5" s="83" t="s">
        <v>0</v>
      </c>
      <c r="K5" s="3"/>
    </row>
    <row r="6" spans="1:15" ht="23.25" customHeight="1">
      <c r="A6" s="4"/>
      <c r="I6" s="130"/>
    </row>
    <row r="7" spans="1:15" ht="23.25" customHeight="1">
      <c r="A7" s="449" t="s">
        <v>1</v>
      </c>
      <c r="B7" s="451" t="s">
        <v>2</v>
      </c>
      <c r="C7" s="449" t="s">
        <v>9</v>
      </c>
      <c r="D7" s="449" t="s">
        <v>10</v>
      </c>
      <c r="E7" s="454" t="s">
        <v>11</v>
      </c>
      <c r="F7" s="103" t="s">
        <v>230</v>
      </c>
      <c r="G7" s="456" t="s">
        <v>14</v>
      </c>
      <c r="H7" s="457"/>
      <c r="I7" s="457"/>
      <c r="J7" s="458"/>
      <c r="K7" s="6" t="s">
        <v>6</v>
      </c>
      <c r="L7" s="6" t="s">
        <v>3</v>
      </c>
    </row>
    <row r="8" spans="1:15" ht="23.25" customHeight="1">
      <c r="A8" s="450"/>
      <c r="B8" s="452"/>
      <c r="C8" s="453"/>
      <c r="D8" s="453"/>
      <c r="E8" s="455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5" ht="23.25" customHeight="1">
      <c r="A9" s="42">
        <v>1</v>
      </c>
      <c r="B9" s="41" t="s">
        <v>527</v>
      </c>
      <c r="C9" s="80" t="s">
        <v>37</v>
      </c>
      <c r="D9" s="87" t="s">
        <v>529</v>
      </c>
      <c r="E9" s="69">
        <v>37741.94</v>
      </c>
      <c r="F9" s="10"/>
      <c r="G9" s="51">
        <f>SUM(E9*4%)+0.32</f>
        <v>1509.9976000000001</v>
      </c>
      <c r="H9" s="101"/>
      <c r="I9" s="133"/>
      <c r="J9" s="12"/>
      <c r="K9" s="57">
        <f t="shared" ref="K9:K18" si="0">SUM(G9:J9)</f>
        <v>1509.9976000000001</v>
      </c>
      <c r="L9" s="47">
        <f>SUM(E9+F9-K9)</f>
        <v>36231.9424</v>
      </c>
      <c r="M9" s="24"/>
      <c r="N9" s="23"/>
    </row>
    <row r="10" spans="1:15" ht="23.25" customHeight="1">
      <c r="A10" s="42"/>
      <c r="B10" s="41"/>
      <c r="C10" s="80"/>
      <c r="D10" s="87"/>
      <c r="E10" s="69"/>
      <c r="F10" s="10"/>
      <c r="G10" s="51">
        <f>SUM(E10*5%)+(F10*5%)</f>
        <v>0</v>
      </c>
      <c r="H10" s="88"/>
      <c r="I10" s="133"/>
      <c r="J10" s="12"/>
      <c r="K10" s="57">
        <f t="shared" si="0"/>
        <v>0</v>
      </c>
      <c r="L10" s="47">
        <f>SUM(E10+F10-K10)</f>
        <v>0</v>
      </c>
      <c r="M10" s="24"/>
      <c r="N10" s="23"/>
    </row>
    <row r="11" spans="1:15" s="32" customFormat="1" ht="23.25" customHeight="1">
      <c r="A11" s="42"/>
      <c r="B11" s="36"/>
      <c r="C11" s="79"/>
      <c r="D11" s="62"/>
      <c r="E11" s="129"/>
      <c r="F11" s="37"/>
      <c r="G11" s="75">
        <f>SUM(E11*5%)+(F11*5%)</f>
        <v>0</v>
      </c>
      <c r="H11" s="58"/>
      <c r="I11" s="132"/>
      <c r="J11" s="56"/>
      <c r="K11" s="76">
        <f t="shared" si="0"/>
        <v>0</v>
      </c>
      <c r="L11" s="77">
        <f>SUM(E11+F11-K11)</f>
        <v>0</v>
      </c>
      <c r="M11" s="39"/>
      <c r="N11" s="40"/>
    </row>
    <row r="12" spans="1:15" s="32" customFormat="1" ht="23.25" customHeight="1">
      <c r="A12" s="42"/>
      <c r="B12" s="36"/>
      <c r="C12" s="84"/>
      <c r="D12" s="62"/>
      <c r="E12" s="67"/>
      <c r="F12" s="37"/>
      <c r="G12" s="75">
        <f>SUM(E12*5%)+(F12*5%)</f>
        <v>0</v>
      </c>
      <c r="H12" s="58"/>
      <c r="I12" s="134"/>
      <c r="J12" s="56"/>
      <c r="K12" s="38">
        <f t="shared" si="0"/>
        <v>0</v>
      </c>
      <c r="L12" s="47"/>
      <c r="M12" s="39"/>
      <c r="N12" s="40"/>
    </row>
    <row r="13" spans="1:15" s="32" customFormat="1" ht="23.25" customHeight="1">
      <c r="A13" s="42"/>
      <c r="B13" s="41"/>
      <c r="C13" s="80"/>
      <c r="D13" s="63"/>
      <c r="E13" s="69"/>
      <c r="F13" s="37"/>
      <c r="G13" s="44">
        <f t="shared" ref="G13:G18" si="1">SUM(E13*5%)+(F13*5%)</f>
        <v>0</v>
      </c>
      <c r="H13" s="100"/>
      <c r="I13" s="133"/>
      <c r="J13" s="52"/>
      <c r="K13" s="57">
        <f t="shared" si="0"/>
        <v>0</v>
      </c>
      <c r="L13" s="47"/>
      <c r="M13" s="39"/>
      <c r="N13" s="40"/>
    </row>
    <row r="14" spans="1:15" ht="23.25" customHeight="1">
      <c r="A14" s="42"/>
      <c r="B14" s="41"/>
      <c r="C14" s="80"/>
      <c r="D14" s="87"/>
      <c r="E14" s="69"/>
      <c r="F14" s="10"/>
      <c r="G14" s="44">
        <f t="shared" si="1"/>
        <v>0</v>
      </c>
      <c r="H14" s="11"/>
      <c r="I14" s="133"/>
      <c r="J14" s="52"/>
      <c r="K14" s="57">
        <f t="shared" si="0"/>
        <v>0</v>
      </c>
      <c r="L14" s="47"/>
      <c r="M14" s="24"/>
      <c r="N14" s="23"/>
    </row>
    <row r="15" spans="1:15" ht="23.25" customHeight="1">
      <c r="A15" s="42"/>
      <c r="B15" s="49"/>
      <c r="C15" s="81"/>
      <c r="D15" s="82"/>
      <c r="E15" s="69"/>
      <c r="F15" s="10"/>
      <c r="G15" s="44">
        <f t="shared" si="1"/>
        <v>0</v>
      </c>
      <c r="H15" s="16"/>
      <c r="I15" s="133"/>
      <c r="J15" s="17"/>
      <c r="K15" s="57">
        <f t="shared" si="0"/>
        <v>0</v>
      </c>
      <c r="L15" s="47"/>
      <c r="M15" s="24"/>
      <c r="N15" s="23"/>
    </row>
    <row r="16" spans="1:15" ht="23.25" customHeight="1">
      <c r="A16" s="42"/>
      <c r="B16" s="49"/>
      <c r="C16" s="81"/>
      <c r="D16" s="82"/>
      <c r="E16" s="69"/>
      <c r="F16" s="10"/>
      <c r="G16" s="44">
        <f t="shared" si="1"/>
        <v>0</v>
      </c>
      <c r="H16" s="16"/>
      <c r="I16" s="133"/>
      <c r="J16" s="18"/>
      <c r="K16" s="57">
        <f t="shared" si="0"/>
        <v>0</v>
      </c>
      <c r="L16" s="47"/>
      <c r="M16" s="156"/>
      <c r="N16" s="154"/>
      <c r="O16" s="155"/>
    </row>
    <row r="17" spans="1:15" s="155" customFormat="1" ht="23.25" customHeight="1">
      <c r="A17" s="42"/>
      <c r="B17" s="49"/>
      <c r="C17" s="81"/>
      <c r="D17" s="82"/>
      <c r="E17" s="69"/>
      <c r="F17" s="148"/>
      <c r="G17" s="44">
        <f t="shared" si="1"/>
        <v>0</v>
      </c>
      <c r="H17" s="16"/>
      <c r="I17" s="133"/>
      <c r="J17" s="18"/>
      <c r="K17" s="57">
        <f t="shared" si="0"/>
        <v>0</v>
      </c>
      <c r="L17" s="47"/>
      <c r="M17" s="156"/>
      <c r="N17" s="154"/>
    </row>
    <row r="18" spans="1:15" ht="23.25" customHeight="1">
      <c r="A18" s="35"/>
      <c r="B18" s="49"/>
      <c r="C18" s="81"/>
      <c r="D18" s="82"/>
      <c r="E18" s="71"/>
      <c r="F18" s="14"/>
      <c r="G18" s="44">
        <f t="shared" si="1"/>
        <v>0</v>
      </c>
      <c r="H18" s="16"/>
      <c r="I18" s="133"/>
      <c r="J18" s="18"/>
      <c r="K18" s="57">
        <f t="shared" si="0"/>
        <v>0</v>
      </c>
      <c r="L18" s="47"/>
      <c r="M18" s="156"/>
      <c r="N18" s="154"/>
      <c r="O18" s="155"/>
    </row>
    <row r="19" spans="1:15" s="32" customFormat="1" ht="23.25" customHeight="1" thickBot="1">
      <c r="A19" s="53"/>
      <c r="B19" s="19" t="s">
        <v>5</v>
      </c>
      <c r="C19" s="54"/>
      <c r="D19" s="55"/>
      <c r="E19" s="72">
        <f>SUM(E9:E18)</f>
        <v>37741.94</v>
      </c>
      <c r="F19" s="72">
        <f t="shared" ref="F19:L19" si="2">SUM(F9:F18)</f>
        <v>0</v>
      </c>
      <c r="G19" s="72">
        <f t="shared" si="2"/>
        <v>1509.9976000000001</v>
      </c>
      <c r="H19" s="72">
        <f t="shared" si="2"/>
        <v>0</v>
      </c>
      <c r="I19" s="72">
        <f t="shared" si="2"/>
        <v>0</v>
      </c>
      <c r="J19" s="72">
        <f t="shared" si="2"/>
        <v>0</v>
      </c>
      <c r="K19" s="72">
        <f t="shared" si="2"/>
        <v>1509.9976000000001</v>
      </c>
      <c r="L19" s="72">
        <f t="shared" si="2"/>
        <v>36231.9424</v>
      </c>
      <c r="M19" s="78"/>
      <c r="N19" s="40"/>
    </row>
    <row r="20" spans="1:15" s="32" customFormat="1" ht="23.25" customHeight="1" thickTop="1">
      <c r="A20" s="89" t="s">
        <v>207</v>
      </c>
      <c r="B20" s="1"/>
      <c r="C20" s="1" t="str">
        <f>BAHTTEXT(L19)</f>
        <v>สามหมื่นหกพันสองร้อยสามสิบเอ็ดบาทเก้าสิบสี่สตางค์</v>
      </c>
      <c r="D20" s="1"/>
      <c r="E20" s="2"/>
      <c r="F20" s="1"/>
      <c r="G20" s="27"/>
      <c r="H20" s="97"/>
      <c r="I20" s="1"/>
      <c r="J20" s="1"/>
      <c r="K20" s="1"/>
      <c r="L20" s="1"/>
      <c r="M20" s="226"/>
      <c r="N20" s="40"/>
    </row>
    <row r="21" spans="1:15" s="32" customFormat="1" ht="23.25" customHeight="1">
      <c r="A21" s="89" t="s">
        <v>208</v>
      </c>
      <c r="B21" s="1"/>
      <c r="C21" s="1"/>
      <c r="D21" s="1"/>
      <c r="E21" s="2"/>
      <c r="F21" s="1"/>
      <c r="G21" s="27"/>
      <c r="H21" s="97"/>
      <c r="I21" s="90" t="str">
        <f>L4</f>
        <v xml:space="preserve">      กันยายน 2555</v>
      </c>
      <c r="J21" s="1"/>
      <c r="K21" s="1"/>
      <c r="L21" s="1"/>
      <c r="M21" s="226"/>
      <c r="N21" s="40"/>
    </row>
    <row r="22" spans="1:15" s="32" customFormat="1" ht="23.25" customHeight="1">
      <c r="A22" s="89" t="s">
        <v>210</v>
      </c>
      <c r="B22" s="1"/>
      <c r="C22" s="91">
        <f>L19</f>
        <v>36231.9424</v>
      </c>
      <c r="D22" s="1" t="s">
        <v>211</v>
      </c>
      <c r="E22" s="1" t="str">
        <f>BAHTTEXT(C22)</f>
        <v>สามหมื่นหกพันสองร้อยสามสิบเอ็ดบาทเก้าสิบสี่สตางค์</v>
      </c>
      <c r="F22" s="1"/>
      <c r="G22" s="27"/>
      <c r="H22" s="97"/>
      <c r="I22" s="1"/>
      <c r="J22" s="1"/>
      <c r="K22" s="1"/>
      <c r="L22" s="1"/>
      <c r="M22" s="226"/>
      <c r="N22" s="40"/>
    </row>
    <row r="23" spans="1:15" s="32" customFormat="1" ht="23.25" customHeight="1">
      <c r="A23" s="89" t="s">
        <v>528</v>
      </c>
      <c r="B23" s="1"/>
      <c r="C23" s="1"/>
      <c r="D23" s="1"/>
      <c r="E23" s="2"/>
      <c r="F23" s="1"/>
      <c r="G23" s="27"/>
      <c r="H23" s="97"/>
      <c r="I23" s="1"/>
      <c r="J23" s="1"/>
      <c r="K23" s="1"/>
      <c r="L23" s="1"/>
      <c r="M23" s="226"/>
      <c r="N23" s="40"/>
    </row>
    <row r="24" spans="1:15" s="32" customFormat="1" ht="23.25" customHeight="1">
      <c r="A24" s="89"/>
      <c r="B24" s="1"/>
      <c r="C24" s="1"/>
      <c r="D24" s="1"/>
      <c r="E24" s="2"/>
      <c r="F24" s="1" t="s">
        <v>212</v>
      </c>
      <c r="G24" s="27"/>
      <c r="H24" s="97"/>
      <c r="I24" s="1"/>
      <c r="J24" s="1"/>
      <c r="K24" s="1"/>
      <c r="L24" s="1"/>
      <c r="M24" s="226"/>
      <c r="N24" s="40"/>
    </row>
    <row r="25" spans="1:15" s="32" customFormat="1" ht="23.25" customHeight="1">
      <c r="A25" s="89"/>
      <c r="B25" s="1"/>
      <c r="C25" s="1"/>
      <c r="D25" s="1"/>
      <c r="E25" s="2"/>
      <c r="F25" s="1" t="s">
        <v>213</v>
      </c>
      <c r="G25" s="27"/>
      <c r="H25" s="97"/>
      <c r="I25" s="1"/>
      <c r="J25" s="1"/>
      <c r="K25" s="1"/>
      <c r="L25" s="1"/>
      <c r="M25" s="226"/>
      <c r="N25" s="40"/>
    </row>
    <row r="26" spans="1:15" s="32" customFormat="1" ht="23.25" customHeight="1">
      <c r="A26" s="223"/>
      <c r="B26" s="224"/>
      <c r="C26" s="34"/>
      <c r="D26" s="225"/>
      <c r="E26" s="226"/>
      <c r="F26" s="226"/>
      <c r="G26" s="226"/>
      <c r="H26" s="226"/>
      <c r="I26" s="226"/>
      <c r="J26" s="226"/>
      <c r="K26" s="226"/>
      <c r="L26" s="226"/>
      <c r="M26" s="226"/>
      <c r="N26" s="40"/>
    </row>
    <row r="27" spans="1:15" s="13" customFormat="1" ht="23.25" customHeight="1">
      <c r="A27" s="448">
        <v>2</v>
      </c>
      <c r="B27" s="448"/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15"/>
      <c r="N27" s="26"/>
    </row>
    <row r="28" spans="1:15" ht="23.25" customHeight="1">
      <c r="A28" s="449" t="s">
        <v>1</v>
      </c>
      <c r="B28" s="451" t="s">
        <v>2</v>
      </c>
      <c r="C28" s="449" t="s">
        <v>9</v>
      </c>
      <c r="D28" s="449" t="s">
        <v>10</v>
      </c>
      <c r="E28" s="454" t="s">
        <v>11</v>
      </c>
      <c r="F28" s="93" t="s">
        <v>230</v>
      </c>
      <c r="G28" s="456" t="s">
        <v>14</v>
      </c>
      <c r="H28" s="457"/>
      <c r="I28" s="457"/>
      <c r="J28" s="458"/>
      <c r="K28" s="6" t="s">
        <v>6</v>
      </c>
      <c r="L28" s="6" t="s">
        <v>3</v>
      </c>
    </row>
    <row r="29" spans="1:15" ht="23.25" customHeight="1">
      <c r="A29" s="450"/>
      <c r="B29" s="452"/>
      <c r="C29" s="453"/>
      <c r="D29" s="453"/>
      <c r="E29" s="455"/>
      <c r="F29" s="61"/>
      <c r="G29" s="30" t="s">
        <v>12</v>
      </c>
      <c r="H29" s="116" t="s">
        <v>244</v>
      </c>
      <c r="I29" s="8" t="s">
        <v>7</v>
      </c>
      <c r="J29" s="33" t="s">
        <v>8</v>
      </c>
      <c r="K29" s="7" t="s">
        <v>13</v>
      </c>
      <c r="L29" s="9" t="s">
        <v>184</v>
      </c>
    </row>
    <row r="30" spans="1:15" s="32" customFormat="1" ht="23.25" customHeight="1">
      <c r="A30" s="42"/>
      <c r="B30" s="41" t="s">
        <v>106</v>
      </c>
      <c r="C30" s="80" t="s">
        <v>105</v>
      </c>
      <c r="D30" s="63" t="s">
        <v>107</v>
      </c>
      <c r="E30" s="69"/>
      <c r="F30" s="43"/>
      <c r="G30" s="51">
        <f>SUM(E30*5%)+(F30*5%)</f>
        <v>0</v>
      </c>
      <c r="H30" s="94"/>
      <c r="I30" s="133"/>
      <c r="J30" s="46"/>
      <c r="K30" s="57">
        <f t="shared" ref="K30:K49" si="3">SUM(G30:J30)</f>
        <v>0</v>
      </c>
      <c r="L30" s="47">
        <f t="shared" ref="L30:L49" si="4">SUM(E30+F30-K30)</f>
        <v>0</v>
      </c>
      <c r="M30" s="34"/>
      <c r="N30" s="40"/>
    </row>
    <row r="31" spans="1:15" s="32" customFormat="1" ht="23.25" customHeight="1">
      <c r="A31" s="42">
        <v>16</v>
      </c>
      <c r="B31" s="49" t="s">
        <v>266</v>
      </c>
      <c r="C31" s="81" t="s">
        <v>267</v>
      </c>
      <c r="D31" s="64" t="s">
        <v>268</v>
      </c>
      <c r="E31" s="70">
        <f>11700</f>
        <v>11700</v>
      </c>
      <c r="F31" s="37"/>
      <c r="G31" s="75">
        <f>SUM(E31*5%)+F31*5%</f>
        <v>585</v>
      </c>
      <c r="H31" s="59"/>
      <c r="I31" s="137"/>
      <c r="J31" s="46"/>
      <c r="K31" s="77">
        <f t="shared" si="3"/>
        <v>585</v>
      </c>
      <c r="L31" s="77">
        <f t="shared" si="4"/>
        <v>11115</v>
      </c>
      <c r="M31" s="39"/>
      <c r="N31" s="40"/>
    </row>
    <row r="32" spans="1:15" ht="23.25" customHeight="1">
      <c r="A32" s="35">
        <v>17</v>
      </c>
      <c r="B32" s="41" t="s">
        <v>351</v>
      </c>
      <c r="C32" s="80" t="s">
        <v>352</v>
      </c>
      <c r="D32" s="63" t="s">
        <v>353</v>
      </c>
      <c r="E32" s="70">
        <f>11700</f>
        <v>11700</v>
      </c>
      <c r="F32" s="10"/>
      <c r="G32" s="51">
        <f>SUM(E32*5%)+(F32*5%)</f>
        <v>585</v>
      </c>
      <c r="H32" s="11"/>
      <c r="I32" s="141"/>
      <c r="J32" s="12"/>
      <c r="K32" s="57">
        <f t="shared" si="3"/>
        <v>585</v>
      </c>
      <c r="L32" s="47">
        <f t="shared" si="4"/>
        <v>11115</v>
      </c>
      <c r="M32" s="157"/>
      <c r="N32" s="23"/>
    </row>
    <row r="33" spans="1:14" s="32" customFormat="1" ht="23.25" customHeight="1">
      <c r="A33" s="42">
        <v>18</v>
      </c>
      <c r="B33" s="49" t="s">
        <v>269</v>
      </c>
      <c r="C33" s="81" t="s">
        <v>270</v>
      </c>
      <c r="D33" s="64" t="s">
        <v>271</v>
      </c>
      <c r="E33" s="70">
        <f>11700</f>
        <v>11700</v>
      </c>
      <c r="F33" s="37"/>
      <c r="G33" s="75">
        <f>SUM(E33*5%)+F33*5%</f>
        <v>585</v>
      </c>
      <c r="H33" s="59"/>
      <c r="I33" s="133">
        <f>I$6</f>
        <v>0</v>
      </c>
      <c r="J33" s="46"/>
      <c r="K33" s="77">
        <f t="shared" si="3"/>
        <v>585</v>
      </c>
      <c r="L33" s="77">
        <f t="shared" si="4"/>
        <v>11115</v>
      </c>
      <c r="M33" s="39"/>
      <c r="N33" s="40"/>
    </row>
    <row r="34" spans="1:14" s="32" customFormat="1" ht="23.25" customHeight="1">
      <c r="A34" s="35">
        <v>19</v>
      </c>
      <c r="B34" s="41" t="s">
        <v>388</v>
      </c>
      <c r="C34" s="85" t="s">
        <v>283</v>
      </c>
      <c r="D34" s="63" t="s">
        <v>410</v>
      </c>
      <c r="E34" s="70">
        <f>11510</f>
        <v>11510</v>
      </c>
      <c r="F34" s="43"/>
      <c r="G34" s="75">
        <f>SUM(E34*5%)+F34*5%+0.5</f>
        <v>576</v>
      </c>
      <c r="H34" s="59"/>
      <c r="I34" s="137"/>
      <c r="J34" s="46"/>
      <c r="K34" s="77">
        <f t="shared" si="3"/>
        <v>576</v>
      </c>
      <c r="L34" s="77">
        <f>SUM(E34+F34-K34)</f>
        <v>10934</v>
      </c>
      <c r="M34" s="39"/>
      <c r="N34" s="40"/>
    </row>
    <row r="35" spans="1:14" s="32" customFormat="1" ht="23.25" customHeight="1">
      <c r="A35" s="42">
        <v>20</v>
      </c>
      <c r="B35" s="41" t="s">
        <v>307</v>
      </c>
      <c r="C35" s="80" t="s">
        <v>306</v>
      </c>
      <c r="D35" s="63" t="s">
        <v>309</v>
      </c>
      <c r="E35" s="69">
        <f>11700</f>
        <v>11700</v>
      </c>
      <c r="F35" s="37"/>
      <c r="G35" s="75">
        <f>SUM(E35*5%)+F35*5%</f>
        <v>585</v>
      </c>
      <c r="H35" s="59"/>
      <c r="I35" s="138"/>
      <c r="J35" s="46"/>
      <c r="K35" s="57">
        <f t="shared" si="3"/>
        <v>585</v>
      </c>
      <c r="L35" s="47">
        <f t="shared" si="4"/>
        <v>11115</v>
      </c>
      <c r="M35" s="39"/>
      <c r="N35" s="40"/>
    </row>
    <row r="36" spans="1:14" ht="23.25" customHeight="1">
      <c r="A36" s="35">
        <v>21</v>
      </c>
      <c r="B36" s="49" t="s">
        <v>100</v>
      </c>
      <c r="C36" s="81" t="s">
        <v>99</v>
      </c>
      <c r="D36" s="82" t="s">
        <v>101</v>
      </c>
      <c r="E36" s="69">
        <f>13950</f>
        <v>13950</v>
      </c>
      <c r="F36" s="10"/>
      <c r="G36" s="51">
        <f>SUM(E36*5%)+(F36*5%)+0.5</f>
        <v>698</v>
      </c>
      <c r="H36" s="128"/>
      <c r="I36" s="133">
        <f>I$6</f>
        <v>0</v>
      </c>
      <c r="J36" s="18"/>
      <c r="K36" s="57">
        <f t="shared" si="3"/>
        <v>698</v>
      </c>
      <c r="L36" s="47">
        <f t="shared" si="4"/>
        <v>13252</v>
      </c>
      <c r="M36" s="13"/>
      <c r="N36" s="23"/>
    </row>
    <row r="37" spans="1:14" ht="23.25" customHeight="1">
      <c r="A37" s="42">
        <v>22</v>
      </c>
      <c r="B37" s="49" t="s">
        <v>193</v>
      </c>
      <c r="C37" s="81" t="s">
        <v>99</v>
      </c>
      <c r="D37" s="64" t="s">
        <v>200</v>
      </c>
      <c r="E37" s="70">
        <f>12150</f>
        <v>12150</v>
      </c>
      <c r="F37" s="10"/>
      <c r="G37" s="22">
        <f>SUM(E37*5%)+(F37*5%)+0.5</f>
        <v>608</v>
      </c>
      <c r="H37" s="128"/>
      <c r="I37" s="133">
        <f>I$6</f>
        <v>0</v>
      </c>
      <c r="J37" s="17"/>
      <c r="K37" s="57">
        <f t="shared" si="3"/>
        <v>608</v>
      </c>
      <c r="L37" s="47">
        <f t="shared" si="4"/>
        <v>11542</v>
      </c>
      <c r="M37" s="24"/>
      <c r="N37" s="23"/>
    </row>
    <row r="38" spans="1:14" ht="23.25" customHeight="1">
      <c r="A38" s="35">
        <v>23</v>
      </c>
      <c r="B38" s="49" t="s">
        <v>102</v>
      </c>
      <c r="C38" s="81" t="s">
        <v>34</v>
      </c>
      <c r="D38" s="82" t="s">
        <v>103</v>
      </c>
      <c r="E38" s="69">
        <f>14470</f>
        <v>14470</v>
      </c>
      <c r="F38" s="10"/>
      <c r="G38" s="51">
        <f>SUM(E38*5%)+(F38*5%)+0.5</f>
        <v>724</v>
      </c>
      <c r="H38" s="210"/>
      <c r="I38" s="133">
        <f>I$6</f>
        <v>0</v>
      </c>
      <c r="J38" s="18"/>
      <c r="K38" s="57">
        <f t="shared" si="3"/>
        <v>724</v>
      </c>
      <c r="L38" s="47">
        <f t="shared" si="4"/>
        <v>13746</v>
      </c>
      <c r="M38" s="13"/>
      <c r="N38" s="23"/>
    </row>
    <row r="39" spans="1:14" s="32" customFormat="1" ht="23.25" customHeight="1">
      <c r="A39" s="42">
        <v>24</v>
      </c>
      <c r="B39" s="41" t="s">
        <v>33</v>
      </c>
      <c r="C39" s="85" t="s">
        <v>34</v>
      </c>
      <c r="D39" s="63" t="s">
        <v>35</v>
      </c>
      <c r="E39" s="67">
        <f>13420</f>
        <v>13420</v>
      </c>
      <c r="F39" s="37"/>
      <c r="G39" s="75">
        <f>SUM(E39*5%)+(F39*5%)</f>
        <v>671</v>
      </c>
      <c r="H39" s="59"/>
      <c r="I39" s="135"/>
      <c r="J39" s="46"/>
      <c r="K39" s="38">
        <f t="shared" si="3"/>
        <v>671</v>
      </c>
      <c r="L39" s="47">
        <f t="shared" si="4"/>
        <v>12749</v>
      </c>
      <c r="M39" s="39"/>
      <c r="N39" s="40"/>
    </row>
    <row r="40" spans="1:14" s="32" customFormat="1" ht="23.25" customHeight="1">
      <c r="A40" s="35">
        <v>25</v>
      </c>
      <c r="B40" s="49" t="s">
        <v>232</v>
      </c>
      <c r="C40" s="81" t="s">
        <v>37</v>
      </c>
      <c r="D40" s="64" t="s">
        <v>104</v>
      </c>
      <c r="E40" s="70">
        <f>14080</f>
        <v>14080</v>
      </c>
      <c r="F40" s="50"/>
      <c r="G40" s="51">
        <f>SUM(E40*5%)+(F40*5%)</f>
        <v>704</v>
      </c>
      <c r="H40" s="73"/>
      <c r="I40" s="133">
        <f>I$6</f>
        <v>0</v>
      </c>
      <c r="J40" s="52"/>
      <c r="K40" s="57">
        <f t="shared" si="3"/>
        <v>704</v>
      </c>
      <c r="L40" s="47">
        <f t="shared" si="4"/>
        <v>13376</v>
      </c>
      <c r="M40" s="34"/>
      <c r="N40" s="40"/>
    </row>
    <row r="41" spans="1:14" s="32" customFormat="1" ht="23.25" customHeight="1">
      <c r="A41" s="42">
        <v>26</v>
      </c>
      <c r="B41" s="41" t="s">
        <v>319</v>
      </c>
      <c r="C41" s="117" t="s">
        <v>37</v>
      </c>
      <c r="D41" s="63" t="s">
        <v>332</v>
      </c>
      <c r="E41" s="69">
        <f>11700</f>
        <v>11700</v>
      </c>
      <c r="F41" s="43"/>
      <c r="G41" s="22">
        <f>SUM(E41*5%)+(F41*5%)</f>
        <v>585</v>
      </c>
      <c r="H41" s="59"/>
      <c r="I41" s="133">
        <f>I$6</f>
        <v>0</v>
      </c>
      <c r="J41" s="46"/>
      <c r="K41" s="57">
        <f t="shared" si="3"/>
        <v>585</v>
      </c>
      <c r="L41" s="47">
        <f t="shared" si="4"/>
        <v>11115</v>
      </c>
      <c r="M41" s="39"/>
      <c r="N41" s="40"/>
    </row>
    <row r="42" spans="1:14" s="32" customFormat="1" ht="23.25" customHeight="1">
      <c r="A42" s="35">
        <v>27</v>
      </c>
      <c r="B42" s="41" t="s">
        <v>36</v>
      </c>
      <c r="C42" s="85" t="s">
        <v>37</v>
      </c>
      <c r="D42" s="63" t="s">
        <v>38</v>
      </c>
      <c r="E42" s="67">
        <f>13400</f>
        <v>13400</v>
      </c>
      <c r="F42" s="37"/>
      <c r="G42" s="75">
        <f>SUM(E42*5%)+(F42*5%)</f>
        <v>670</v>
      </c>
      <c r="H42" s="94"/>
      <c r="I42" s="194"/>
      <c r="J42" s="47"/>
      <c r="K42" s="38">
        <f t="shared" si="3"/>
        <v>670</v>
      </c>
      <c r="L42" s="47">
        <f t="shared" si="4"/>
        <v>12730</v>
      </c>
      <c r="M42" s="39"/>
      <c r="N42" s="40"/>
    </row>
    <row r="43" spans="1:14" s="32" customFormat="1" ht="23.25" customHeight="1">
      <c r="A43" s="42">
        <v>28</v>
      </c>
      <c r="B43" s="36" t="s">
        <v>108</v>
      </c>
      <c r="C43" s="79" t="s">
        <v>46</v>
      </c>
      <c r="D43" s="62" t="s">
        <v>109</v>
      </c>
      <c r="E43" s="69">
        <f>14450</f>
        <v>14450</v>
      </c>
      <c r="F43" s="37"/>
      <c r="G43" s="51">
        <f>SUM(E43*5%)+(F43*5%)+0.5</f>
        <v>723</v>
      </c>
      <c r="H43" s="58"/>
      <c r="I43" s="133">
        <f>I$6</f>
        <v>0</v>
      </c>
      <c r="J43" s="56"/>
      <c r="K43" s="57">
        <f t="shared" si="3"/>
        <v>723</v>
      </c>
      <c r="L43" s="47">
        <f t="shared" si="4"/>
        <v>13727</v>
      </c>
      <c r="M43" s="39"/>
      <c r="N43" s="40"/>
    </row>
    <row r="44" spans="1:14" s="32" customFormat="1" ht="23.25" customHeight="1">
      <c r="A44" s="35">
        <v>29</v>
      </c>
      <c r="B44" s="49" t="s">
        <v>336</v>
      </c>
      <c r="C44" s="86" t="s">
        <v>46</v>
      </c>
      <c r="D44" s="64" t="s">
        <v>47</v>
      </c>
      <c r="E44" s="67">
        <f>13400</f>
        <v>13400</v>
      </c>
      <c r="F44" s="37"/>
      <c r="G44" s="75">
        <f>SUM(E44*5%)+(F44*5%)</f>
        <v>670</v>
      </c>
      <c r="H44" s="73"/>
      <c r="I44" s="136"/>
      <c r="J44" s="52"/>
      <c r="K44" s="38">
        <f t="shared" si="3"/>
        <v>670</v>
      </c>
      <c r="L44" s="47">
        <f t="shared" si="4"/>
        <v>12730</v>
      </c>
      <c r="M44" s="34"/>
      <c r="N44" s="40"/>
    </row>
    <row r="45" spans="1:14" s="32" customFormat="1" ht="23.25" customHeight="1">
      <c r="A45" s="42">
        <v>30</v>
      </c>
      <c r="B45" s="49" t="s">
        <v>48</v>
      </c>
      <c r="C45" s="86" t="s">
        <v>46</v>
      </c>
      <c r="D45" s="64" t="s">
        <v>49</v>
      </c>
      <c r="E45" s="67">
        <f>13780</f>
        <v>13780</v>
      </c>
      <c r="F45" s="37"/>
      <c r="G45" s="75">
        <f>SUM(E45*5%)+(F45*5%)</f>
        <v>689</v>
      </c>
      <c r="H45" s="102"/>
      <c r="I45" s="133">
        <f>I$6</f>
        <v>0</v>
      </c>
      <c r="J45" s="52"/>
      <c r="K45" s="38">
        <f t="shared" si="3"/>
        <v>689</v>
      </c>
      <c r="L45" s="47">
        <f t="shared" si="4"/>
        <v>13091</v>
      </c>
      <c r="M45" s="34"/>
      <c r="N45" s="40"/>
    </row>
    <row r="46" spans="1:14" s="32" customFormat="1" ht="23.25" customHeight="1">
      <c r="A46" s="35">
        <v>31</v>
      </c>
      <c r="B46" s="41" t="s">
        <v>110</v>
      </c>
      <c r="C46" s="80" t="s">
        <v>57</v>
      </c>
      <c r="D46" s="63" t="s">
        <v>111</v>
      </c>
      <c r="E46" s="69">
        <f>14450</f>
        <v>14450</v>
      </c>
      <c r="F46" s="37"/>
      <c r="G46" s="51">
        <f>SUM(E46*5%)+(F46*5%)+0.5</f>
        <v>723</v>
      </c>
      <c r="H46" s="100"/>
      <c r="I46" s="133">
        <f>I$6</f>
        <v>0</v>
      </c>
      <c r="J46" s="46"/>
      <c r="K46" s="57">
        <f t="shared" si="3"/>
        <v>723</v>
      </c>
      <c r="L46" s="47">
        <f t="shared" si="4"/>
        <v>13727</v>
      </c>
      <c r="M46" s="39"/>
      <c r="N46" s="40"/>
    </row>
    <row r="47" spans="1:14" s="32" customFormat="1" ht="23.25" customHeight="1">
      <c r="A47" s="42">
        <v>32</v>
      </c>
      <c r="B47" s="41" t="s">
        <v>112</v>
      </c>
      <c r="C47" s="80" t="s">
        <v>57</v>
      </c>
      <c r="D47" s="63" t="s">
        <v>113</v>
      </c>
      <c r="E47" s="69">
        <f>14100</f>
        <v>14100</v>
      </c>
      <c r="F47" s="37"/>
      <c r="G47" s="51">
        <f>SUM(E47*5%)+(F47*5%)</f>
        <v>705</v>
      </c>
      <c r="H47" s="100"/>
      <c r="I47" s="133">
        <f>I$6</f>
        <v>0</v>
      </c>
      <c r="J47" s="46"/>
      <c r="K47" s="57">
        <f t="shared" si="3"/>
        <v>705</v>
      </c>
      <c r="L47" s="47">
        <f t="shared" si="4"/>
        <v>13395</v>
      </c>
      <c r="M47" s="39"/>
      <c r="N47" s="40"/>
    </row>
    <row r="48" spans="1:14" s="32" customFormat="1" ht="23.25" customHeight="1">
      <c r="A48" s="35">
        <v>33</v>
      </c>
      <c r="B48" s="41" t="s">
        <v>114</v>
      </c>
      <c r="C48" s="80" t="s">
        <v>57</v>
      </c>
      <c r="D48" s="63" t="s">
        <v>234</v>
      </c>
      <c r="E48" s="68">
        <f>14500</f>
        <v>14500</v>
      </c>
      <c r="F48" s="37"/>
      <c r="G48" s="51">
        <f>SUM(E48*5%)+(F48*5%)</f>
        <v>725</v>
      </c>
      <c r="H48" s="100"/>
      <c r="I48" s="133">
        <f>I$6</f>
        <v>0</v>
      </c>
      <c r="J48" s="52">
        <f>J$6</f>
        <v>0</v>
      </c>
      <c r="K48" s="57">
        <f t="shared" si="3"/>
        <v>725</v>
      </c>
      <c r="L48" s="47">
        <f t="shared" si="4"/>
        <v>13775</v>
      </c>
      <c r="M48" s="39"/>
      <c r="N48" s="40"/>
    </row>
    <row r="49" spans="1:14" s="32" customFormat="1" ht="23.25" customHeight="1">
      <c r="A49" s="42">
        <v>34</v>
      </c>
      <c r="B49" s="41" t="s">
        <v>56</v>
      </c>
      <c r="C49" s="80" t="s">
        <v>57</v>
      </c>
      <c r="D49" s="63" t="s">
        <v>58</v>
      </c>
      <c r="E49" s="69">
        <f>13400</f>
        <v>13400</v>
      </c>
      <c r="F49" s="43"/>
      <c r="G49" s="75">
        <f>SUM(E49*5%)+(F49*5%)</f>
        <v>670</v>
      </c>
      <c r="H49" s="94"/>
      <c r="I49" s="137"/>
      <c r="J49" s="46"/>
      <c r="K49" s="57">
        <f t="shared" si="3"/>
        <v>670</v>
      </c>
      <c r="L49" s="47">
        <f t="shared" si="4"/>
        <v>12730</v>
      </c>
      <c r="M49" s="34"/>
      <c r="N49" s="40"/>
    </row>
    <row r="50" spans="1:14" s="32" customFormat="1" ht="23.25" customHeight="1">
      <c r="A50" s="35"/>
      <c r="B50" s="41"/>
      <c r="C50" s="80"/>
      <c r="D50" s="63"/>
      <c r="E50" s="74"/>
      <c r="F50" s="37"/>
      <c r="G50" s="75"/>
      <c r="H50" s="73"/>
      <c r="I50" s="133"/>
      <c r="J50" s="46"/>
      <c r="K50" s="76"/>
      <c r="L50" s="77"/>
      <c r="M50" s="34"/>
      <c r="N50" s="40"/>
    </row>
    <row r="51" spans="1:14" ht="23.25" customHeight="1" thickBot="1">
      <c r="A51" s="19"/>
      <c r="B51" s="19" t="s">
        <v>4</v>
      </c>
      <c r="C51" s="20"/>
      <c r="D51" s="205"/>
      <c r="E51" s="31">
        <f>SUM(E19,E30:E50)</f>
        <v>287301.94</v>
      </c>
      <c r="F51" s="31">
        <f t="shared" ref="F51:K51" si="5">SUM(F19,F30:F50)</f>
        <v>0</v>
      </c>
      <c r="G51" s="31">
        <f t="shared" si="5"/>
        <v>13990.997600000001</v>
      </c>
      <c r="H51" s="31">
        <f t="shared" si="5"/>
        <v>0</v>
      </c>
      <c r="I51" s="31">
        <f t="shared" si="5"/>
        <v>0</v>
      </c>
      <c r="J51" s="111">
        <f t="shared" si="5"/>
        <v>0</v>
      </c>
      <c r="K51" s="31">
        <f t="shared" si="5"/>
        <v>13990.997600000001</v>
      </c>
      <c r="L51" s="31">
        <f>SUM(L19,L30:L50)</f>
        <v>273310.9424</v>
      </c>
      <c r="M51" s="25"/>
      <c r="N51" s="23"/>
    </row>
    <row r="52" spans="1:14" s="13" customFormat="1" ht="23.25" customHeight="1" thickTop="1">
      <c r="A52" s="448">
        <v>3</v>
      </c>
      <c r="B52" s="448"/>
      <c r="C52" s="448"/>
      <c r="D52" s="448"/>
      <c r="E52" s="448"/>
      <c r="F52" s="448"/>
      <c r="G52" s="448"/>
      <c r="H52" s="448"/>
      <c r="I52" s="448"/>
      <c r="J52" s="448"/>
      <c r="K52" s="448"/>
      <c r="L52" s="448"/>
      <c r="M52" s="15"/>
      <c r="N52" s="26"/>
    </row>
    <row r="53" spans="1:14" ht="23.25" customHeight="1">
      <c r="A53" s="449" t="s">
        <v>1</v>
      </c>
      <c r="B53" s="451" t="s">
        <v>2</v>
      </c>
      <c r="C53" s="449" t="s">
        <v>9</v>
      </c>
      <c r="D53" s="449" t="s">
        <v>10</v>
      </c>
      <c r="E53" s="454" t="s">
        <v>11</v>
      </c>
      <c r="F53" s="93" t="s">
        <v>230</v>
      </c>
      <c r="G53" s="456" t="s">
        <v>14</v>
      </c>
      <c r="H53" s="457"/>
      <c r="I53" s="457"/>
      <c r="J53" s="458"/>
      <c r="K53" s="6" t="s">
        <v>6</v>
      </c>
      <c r="L53" s="6" t="s">
        <v>3</v>
      </c>
    </row>
    <row r="54" spans="1:14" ht="23.25" customHeight="1">
      <c r="A54" s="450"/>
      <c r="B54" s="452"/>
      <c r="C54" s="453"/>
      <c r="D54" s="453"/>
      <c r="E54" s="455"/>
      <c r="F54" s="61"/>
      <c r="G54" s="30" t="s">
        <v>12</v>
      </c>
      <c r="H54" s="116" t="s">
        <v>244</v>
      </c>
      <c r="I54" s="8" t="s">
        <v>7</v>
      </c>
      <c r="J54" s="33" t="s">
        <v>8</v>
      </c>
      <c r="K54" s="7" t="s">
        <v>13</v>
      </c>
      <c r="L54" s="9" t="s">
        <v>184</v>
      </c>
    </row>
    <row r="55" spans="1:14" s="32" customFormat="1" ht="23.25" customHeight="1">
      <c r="A55" s="35">
        <v>35</v>
      </c>
      <c r="B55" s="41" t="s">
        <v>372</v>
      </c>
      <c r="C55" s="80" t="s">
        <v>51</v>
      </c>
      <c r="D55" s="63" t="s">
        <v>409</v>
      </c>
      <c r="E55" s="68">
        <f>11510</f>
        <v>11510</v>
      </c>
      <c r="F55" s="37"/>
      <c r="G55" s="51">
        <f>SUM(E55*5%)+(F55*5%)+0.5</f>
        <v>576</v>
      </c>
      <c r="H55" s="59"/>
      <c r="I55" s="133"/>
      <c r="J55" s="46"/>
      <c r="K55" s="57">
        <f t="shared" ref="K55:K75" si="6">SUM(G55:J55)</f>
        <v>576</v>
      </c>
      <c r="L55" s="47">
        <f t="shared" ref="L55:L75" si="7">SUM(E55+F55-K55)</f>
        <v>10934</v>
      </c>
      <c r="M55" s="105" t="s">
        <v>373</v>
      </c>
      <c r="N55" s="40"/>
    </row>
    <row r="56" spans="1:14" s="32" customFormat="1" ht="23.25" customHeight="1">
      <c r="A56" s="42">
        <v>36</v>
      </c>
      <c r="B56" s="41" t="s">
        <v>235</v>
      </c>
      <c r="C56" s="80" t="s">
        <v>51</v>
      </c>
      <c r="D56" s="63" t="s">
        <v>117</v>
      </c>
      <c r="E56" s="68">
        <f>14080</f>
        <v>14080</v>
      </c>
      <c r="F56" s="37"/>
      <c r="G56" s="51">
        <f>SUM(E56*5%)+(F56*5%)</f>
        <v>704</v>
      </c>
      <c r="H56" s="59"/>
      <c r="I56" s="133">
        <f>I$6</f>
        <v>0</v>
      </c>
      <c r="J56" s="46"/>
      <c r="K56" s="57">
        <f t="shared" si="6"/>
        <v>704</v>
      </c>
      <c r="L56" s="47">
        <f t="shared" si="7"/>
        <v>13376</v>
      </c>
      <c r="M56" s="39"/>
      <c r="N56" s="40"/>
    </row>
    <row r="57" spans="1:14" s="32" customFormat="1" ht="23.25" customHeight="1">
      <c r="A57" s="35">
        <v>37</v>
      </c>
      <c r="B57" s="49" t="s">
        <v>50</v>
      </c>
      <c r="C57" s="86" t="s">
        <v>51</v>
      </c>
      <c r="D57" s="64" t="s">
        <v>52</v>
      </c>
      <c r="E57" s="67">
        <f>13400</f>
        <v>13400</v>
      </c>
      <c r="F57" s="37"/>
      <c r="G57" s="75">
        <f>SUM(E57*5%)+(F57*5%)</f>
        <v>670</v>
      </c>
      <c r="H57" s="98"/>
      <c r="I57" s="136"/>
      <c r="J57" s="52"/>
      <c r="K57" s="38">
        <f t="shared" si="6"/>
        <v>670</v>
      </c>
      <c r="L57" s="47">
        <f t="shared" si="7"/>
        <v>12730</v>
      </c>
      <c r="M57" s="34"/>
      <c r="N57" s="40"/>
    </row>
    <row r="58" spans="1:14" s="191" customFormat="1" ht="23.25" customHeight="1">
      <c r="A58" s="197"/>
      <c r="B58" s="180" t="s">
        <v>53</v>
      </c>
      <c r="C58" s="192" t="s">
        <v>51</v>
      </c>
      <c r="D58" s="181" t="s">
        <v>54</v>
      </c>
      <c r="E58" s="198"/>
      <c r="F58" s="183"/>
      <c r="G58" s="184">
        <f>SUM(E58*5%)+(F58*5%)</f>
        <v>0</v>
      </c>
      <c r="H58" s="185"/>
      <c r="I58" s="186"/>
      <c r="J58" s="187"/>
      <c r="K58" s="199">
        <f t="shared" si="6"/>
        <v>0</v>
      </c>
      <c r="L58" s="196">
        <f t="shared" si="7"/>
        <v>0</v>
      </c>
      <c r="M58" s="200"/>
      <c r="N58" s="190"/>
    </row>
    <row r="59" spans="1:14" s="32" customFormat="1" ht="23.25" customHeight="1">
      <c r="A59" s="35">
        <v>38</v>
      </c>
      <c r="B59" s="49" t="s">
        <v>318</v>
      </c>
      <c r="C59" s="81" t="s">
        <v>51</v>
      </c>
      <c r="D59" s="64" t="s">
        <v>330</v>
      </c>
      <c r="E59" s="67">
        <f>11700</f>
        <v>11700</v>
      </c>
      <c r="F59" s="37"/>
      <c r="G59" s="75">
        <f>SUM(E59*5%)+(F59*5%)</f>
        <v>585</v>
      </c>
      <c r="H59" s="73"/>
      <c r="I59" s="133"/>
      <c r="J59" s="52"/>
      <c r="K59" s="38">
        <f t="shared" si="6"/>
        <v>585</v>
      </c>
      <c r="L59" s="47">
        <f t="shared" si="7"/>
        <v>11115</v>
      </c>
      <c r="M59" s="34"/>
      <c r="N59" s="40"/>
    </row>
    <row r="60" spans="1:14" s="32" customFormat="1" ht="23.25" customHeight="1">
      <c r="A60" s="42">
        <v>39</v>
      </c>
      <c r="B60" s="41" t="s">
        <v>118</v>
      </c>
      <c r="C60" s="80" t="s">
        <v>31</v>
      </c>
      <c r="D60" s="63" t="s">
        <v>119</v>
      </c>
      <c r="E60" s="68">
        <f>14450</f>
        <v>14450</v>
      </c>
      <c r="F60" s="37"/>
      <c r="G60" s="51">
        <f>SUM(E60*5%)+(F60*5%)+0.5</f>
        <v>723</v>
      </c>
      <c r="H60" s="59"/>
      <c r="I60" s="135"/>
      <c r="J60" s="46"/>
      <c r="K60" s="57">
        <f t="shared" si="6"/>
        <v>723</v>
      </c>
      <c r="L60" s="47">
        <f t="shared" si="7"/>
        <v>13727</v>
      </c>
      <c r="M60" s="39"/>
      <c r="N60" s="40"/>
    </row>
    <row r="61" spans="1:14" s="32" customFormat="1" ht="23.25" customHeight="1">
      <c r="A61" s="35">
        <v>40</v>
      </c>
      <c r="B61" s="41" t="s">
        <v>30</v>
      </c>
      <c r="C61" s="85" t="s">
        <v>31</v>
      </c>
      <c r="D61" s="63" t="s">
        <v>32</v>
      </c>
      <c r="E61" s="67">
        <f>13680</f>
        <v>13680</v>
      </c>
      <c r="F61" s="37"/>
      <c r="G61" s="75">
        <f>SUM(E61*5%)+(F61*5%)</f>
        <v>684</v>
      </c>
      <c r="H61" s="209"/>
      <c r="I61" s="133">
        <f t="shared" ref="I61:I67" si="8">I$6</f>
        <v>0</v>
      </c>
      <c r="J61" s="46"/>
      <c r="K61" s="38">
        <f t="shared" si="6"/>
        <v>684</v>
      </c>
      <c r="L61" s="47">
        <f t="shared" si="7"/>
        <v>12996</v>
      </c>
      <c r="M61" s="39"/>
      <c r="N61" s="40"/>
    </row>
    <row r="62" spans="1:14" s="32" customFormat="1" ht="23.25" customHeight="1">
      <c r="A62" s="42">
        <v>41</v>
      </c>
      <c r="B62" s="36" t="s">
        <v>314</v>
      </c>
      <c r="C62" s="84" t="s">
        <v>28</v>
      </c>
      <c r="D62" s="62" t="s">
        <v>315</v>
      </c>
      <c r="E62" s="67">
        <f>11700</f>
        <v>11700</v>
      </c>
      <c r="F62" s="37"/>
      <c r="G62" s="75">
        <f>SUM(E62*5%)+(F62*5%)</f>
        <v>585</v>
      </c>
      <c r="H62" s="58"/>
      <c r="I62" s="133">
        <f t="shared" si="8"/>
        <v>0</v>
      </c>
      <c r="J62" s="56"/>
      <c r="K62" s="38">
        <f t="shared" si="6"/>
        <v>585</v>
      </c>
      <c r="L62" s="47">
        <f t="shared" si="7"/>
        <v>11115</v>
      </c>
      <c r="M62" s="39"/>
      <c r="N62" s="40"/>
    </row>
    <row r="63" spans="1:14" s="32" customFormat="1" ht="23.25" customHeight="1">
      <c r="A63" s="35">
        <v>42</v>
      </c>
      <c r="B63" s="41" t="s">
        <v>366</v>
      </c>
      <c r="C63" s="85" t="s">
        <v>28</v>
      </c>
      <c r="D63" s="63" t="s">
        <v>368</v>
      </c>
      <c r="E63" s="67">
        <f>11510</f>
        <v>11510</v>
      </c>
      <c r="F63" s="37"/>
      <c r="G63" s="75">
        <f>SUM(E63*5%)+(F63*5%)+0.5</f>
        <v>576</v>
      </c>
      <c r="H63" s="59"/>
      <c r="I63" s="133"/>
      <c r="J63" s="46"/>
      <c r="K63" s="38">
        <f t="shared" si="6"/>
        <v>576</v>
      </c>
      <c r="L63" s="47">
        <f t="shared" si="7"/>
        <v>10934</v>
      </c>
      <c r="M63" s="39" t="s">
        <v>367</v>
      </c>
      <c r="N63" s="40"/>
    </row>
    <row r="64" spans="1:14" ht="23.25" customHeight="1">
      <c r="A64" s="42">
        <v>43</v>
      </c>
      <c r="B64" s="41" t="s">
        <v>374</v>
      </c>
      <c r="C64" s="80" t="s">
        <v>24</v>
      </c>
      <c r="D64" s="87" t="s">
        <v>408</v>
      </c>
      <c r="E64" s="68">
        <f>11510</f>
        <v>11510</v>
      </c>
      <c r="F64" s="37"/>
      <c r="G64" s="51">
        <f>SUM(E64*5%)+(F64*5%)+0.5</f>
        <v>576</v>
      </c>
      <c r="H64" s="11"/>
      <c r="I64" s="133"/>
      <c r="J64" s="12"/>
      <c r="K64" s="57">
        <f t="shared" si="6"/>
        <v>576</v>
      </c>
      <c r="L64" s="47">
        <f t="shared" si="7"/>
        <v>10934</v>
      </c>
      <c r="M64" s="105" t="s">
        <v>373</v>
      </c>
      <c r="N64" s="23"/>
    </row>
    <row r="65" spans="1:14" s="32" customFormat="1" ht="23.25" customHeight="1">
      <c r="A65" s="35">
        <v>44</v>
      </c>
      <c r="B65" s="41" t="s">
        <v>23</v>
      </c>
      <c r="C65" s="80" t="s">
        <v>24</v>
      </c>
      <c r="D65" s="63" t="s">
        <v>25</v>
      </c>
      <c r="E65" s="74">
        <f>13690</f>
        <v>13690</v>
      </c>
      <c r="F65" s="43"/>
      <c r="G65" s="75">
        <f>SUM(E65*5%)+(F65*5%)+0.5</f>
        <v>685</v>
      </c>
      <c r="H65" s="59"/>
      <c r="I65" s="133">
        <f t="shared" si="8"/>
        <v>0</v>
      </c>
      <c r="J65" s="46"/>
      <c r="K65" s="76">
        <f t="shared" si="6"/>
        <v>685</v>
      </c>
      <c r="L65" s="77">
        <f t="shared" si="7"/>
        <v>13005</v>
      </c>
      <c r="M65" s="34"/>
      <c r="N65" s="40"/>
    </row>
    <row r="66" spans="1:14" s="32" customFormat="1" ht="23.25" customHeight="1">
      <c r="A66" s="42">
        <v>45</v>
      </c>
      <c r="B66" s="106" t="s">
        <v>341</v>
      </c>
      <c r="C66" s="84" t="s">
        <v>24</v>
      </c>
      <c r="D66" s="107" t="s">
        <v>342</v>
      </c>
      <c r="E66" s="108">
        <f>11700</f>
        <v>11700</v>
      </c>
      <c r="F66" s="109"/>
      <c r="G66" s="75">
        <f>SUM(E66*5%)+(F66*5%)</f>
        <v>585</v>
      </c>
      <c r="H66" s="110"/>
      <c r="I66" s="133">
        <f t="shared" si="8"/>
        <v>0</v>
      </c>
      <c r="J66" s="46"/>
      <c r="K66" s="38">
        <f t="shared" si="6"/>
        <v>585</v>
      </c>
      <c r="L66" s="47">
        <f t="shared" si="7"/>
        <v>11115</v>
      </c>
      <c r="M66" s="34"/>
    </row>
    <row r="67" spans="1:14" ht="23.25" customHeight="1">
      <c r="A67" s="35">
        <v>46</v>
      </c>
      <c r="B67" s="41" t="s">
        <v>121</v>
      </c>
      <c r="C67" s="80" t="s">
        <v>26</v>
      </c>
      <c r="D67" s="87" t="s">
        <v>122</v>
      </c>
      <c r="E67" s="68">
        <f>13690</f>
        <v>13690</v>
      </c>
      <c r="F67" s="37"/>
      <c r="G67" s="51">
        <f>SUM(E67*5%)+(F67*5%)+0.5</f>
        <v>685</v>
      </c>
      <c r="H67" s="161"/>
      <c r="I67" s="133">
        <f t="shared" si="8"/>
        <v>0</v>
      </c>
      <c r="J67" s="12"/>
      <c r="K67" s="57">
        <f t="shared" si="6"/>
        <v>685</v>
      </c>
      <c r="L67" s="47">
        <f t="shared" si="7"/>
        <v>13005</v>
      </c>
      <c r="M67" s="24"/>
      <c r="N67" s="23"/>
    </row>
    <row r="68" spans="1:14" ht="23.25" customHeight="1">
      <c r="A68" s="35">
        <v>47</v>
      </c>
      <c r="B68" s="41" t="s">
        <v>301</v>
      </c>
      <c r="C68" s="85" t="s">
        <v>26</v>
      </c>
      <c r="D68" s="63" t="s">
        <v>302</v>
      </c>
      <c r="E68" s="69">
        <f>11700</f>
        <v>11700</v>
      </c>
      <c r="F68" s="168"/>
      <c r="G68" s="75">
        <f>SUM(E68*5%)+F68*5%</f>
        <v>585</v>
      </c>
      <c r="H68" s="11"/>
      <c r="I68" s="133">
        <f>I$6</f>
        <v>0</v>
      </c>
      <c r="J68" s="12"/>
      <c r="K68" s="57">
        <f t="shared" si="6"/>
        <v>585</v>
      </c>
      <c r="L68" s="47">
        <f t="shared" si="7"/>
        <v>11115</v>
      </c>
      <c r="M68" s="13"/>
      <c r="N68" s="23"/>
    </row>
    <row r="69" spans="1:14" s="32" customFormat="1" ht="23.25" customHeight="1">
      <c r="A69" s="42">
        <v>48</v>
      </c>
      <c r="B69" s="41" t="s">
        <v>39</v>
      </c>
      <c r="C69" s="85" t="s">
        <v>40</v>
      </c>
      <c r="D69" s="63" t="s">
        <v>233</v>
      </c>
      <c r="E69" s="69">
        <f>13400</f>
        <v>13400</v>
      </c>
      <c r="F69" s="43"/>
      <c r="G69" s="75">
        <f>SUM(E69*5%)+(F69*5%)</f>
        <v>670</v>
      </c>
      <c r="H69" s="100"/>
      <c r="I69" s="133">
        <f>I$6</f>
        <v>0</v>
      </c>
      <c r="J69" s="46">
        <f>J$6</f>
        <v>0</v>
      </c>
      <c r="K69" s="57">
        <f t="shared" si="6"/>
        <v>670</v>
      </c>
      <c r="L69" s="47">
        <f t="shared" si="7"/>
        <v>12730</v>
      </c>
      <c r="M69" s="34"/>
      <c r="N69" s="40"/>
    </row>
    <row r="70" spans="1:14" s="32" customFormat="1" ht="23.25" customHeight="1">
      <c r="A70" s="35">
        <v>49</v>
      </c>
      <c r="B70" s="36" t="s">
        <v>305</v>
      </c>
      <c r="C70" s="79" t="s">
        <v>40</v>
      </c>
      <c r="D70" s="62" t="s">
        <v>308</v>
      </c>
      <c r="E70" s="67">
        <f>11700</f>
        <v>11700</v>
      </c>
      <c r="F70" s="37"/>
      <c r="G70" s="211">
        <f>SUM(E70*5%)+F70*5%</f>
        <v>585</v>
      </c>
      <c r="H70" s="58"/>
      <c r="I70" s="212">
        <f>I$6</f>
        <v>0</v>
      </c>
      <c r="J70" s="56"/>
      <c r="K70" s="38">
        <f t="shared" si="6"/>
        <v>585</v>
      </c>
      <c r="L70" s="162">
        <f t="shared" si="7"/>
        <v>11115</v>
      </c>
      <c r="M70" s="39"/>
      <c r="N70" s="40"/>
    </row>
    <row r="71" spans="1:14" s="32" customFormat="1" ht="23.25" customHeight="1">
      <c r="A71" s="42">
        <v>50</v>
      </c>
      <c r="B71" s="49" t="s">
        <v>41</v>
      </c>
      <c r="C71" s="86" t="s">
        <v>42</v>
      </c>
      <c r="D71" s="64" t="s">
        <v>43</v>
      </c>
      <c r="E71" s="67">
        <f>13040</f>
        <v>13040</v>
      </c>
      <c r="F71" s="37"/>
      <c r="G71" s="75">
        <f>SUM(E71*5%)+(F71*5%)</f>
        <v>652</v>
      </c>
      <c r="H71" s="102"/>
      <c r="I71" s="133">
        <f>I$6</f>
        <v>0</v>
      </c>
      <c r="J71" s="52"/>
      <c r="K71" s="38">
        <f t="shared" si="6"/>
        <v>652</v>
      </c>
      <c r="L71" s="47">
        <f t="shared" si="7"/>
        <v>12388</v>
      </c>
      <c r="M71" s="34"/>
      <c r="N71" s="40"/>
    </row>
    <row r="72" spans="1:14" s="32" customFormat="1" ht="23.25" customHeight="1">
      <c r="A72" s="35">
        <v>51</v>
      </c>
      <c r="B72" s="49" t="s">
        <v>44</v>
      </c>
      <c r="C72" s="86" t="s">
        <v>42</v>
      </c>
      <c r="D72" s="64" t="s">
        <v>45</v>
      </c>
      <c r="E72" s="67">
        <f>13530</f>
        <v>13530</v>
      </c>
      <c r="F72" s="37"/>
      <c r="G72" s="75">
        <f>SUM(E72*5%)+(F72*5%)+0.5</f>
        <v>677</v>
      </c>
      <c r="H72" s="102"/>
      <c r="I72" s="133">
        <f>I$6</f>
        <v>0</v>
      </c>
      <c r="J72" s="46">
        <f>J$6</f>
        <v>0</v>
      </c>
      <c r="K72" s="38">
        <f t="shared" si="6"/>
        <v>677</v>
      </c>
      <c r="L72" s="47">
        <f t="shared" si="7"/>
        <v>12853</v>
      </c>
      <c r="M72" s="34"/>
      <c r="N72" s="40"/>
    </row>
    <row r="73" spans="1:14" ht="23.25" customHeight="1">
      <c r="A73" s="42">
        <v>52</v>
      </c>
      <c r="B73" s="41" t="s">
        <v>157</v>
      </c>
      <c r="C73" s="80" t="s">
        <v>155</v>
      </c>
      <c r="D73" s="87" t="s">
        <v>158</v>
      </c>
      <c r="E73" s="69">
        <f>14470</f>
        <v>14470</v>
      </c>
      <c r="F73" s="10"/>
      <c r="G73" s="44">
        <f>SUM(E73*5%)+(F73*5%)+0.5</f>
        <v>724</v>
      </c>
      <c r="H73" s="11"/>
      <c r="I73" s="139"/>
      <c r="J73" s="52"/>
      <c r="K73" s="57">
        <f t="shared" si="6"/>
        <v>724</v>
      </c>
      <c r="L73" s="47">
        <f t="shared" si="7"/>
        <v>13746</v>
      </c>
      <c r="M73" s="24"/>
      <c r="N73" s="23"/>
    </row>
    <row r="74" spans="1:14" ht="23.25" customHeight="1">
      <c r="A74" s="35">
        <v>53</v>
      </c>
      <c r="B74" s="41" t="s">
        <v>159</v>
      </c>
      <c r="C74" s="80" t="s">
        <v>160</v>
      </c>
      <c r="D74" s="87" t="s">
        <v>161</v>
      </c>
      <c r="E74" s="69">
        <f>13460</f>
        <v>13460</v>
      </c>
      <c r="F74" s="10"/>
      <c r="G74" s="44">
        <f>SUM(E74*5%)+(F74*5%)</f>
        <v>673</v>
      </c>
      <c r="H74" s="101"/>
      <c r="I74" s="133">
        <f>I$6</f>
        <v>0</v>
      </c>
      <c r="J74" s="52">
        <f>J$6</f>
        <v>0</v>
      </c>
      <c r="K74" s="57">
        <f t="shared" si="6"/>
        <v>673</v>
      </c>
      <c r="L74" s="47">
        <f t="shared" si="7"/>
        <v>12787</v>
      </c>
      <c r="M74" s="105" t="s">
        <v>371</v>
      </c>
      <c r="N74" s="23"/>
    </row>
    <row r="75" spans="1:14" ht="23.25" customHeight="1">
      <c r="A75" s="42">
        <v>54</v>
      </c>
      <c r="B75" s="41" t="s">
        <v>162</v>
      </c>
      <c r="C75" s="80" t="s">
        <v>228</v>
      </c>
      <c r="D75" s="87" t="s">
        <v>163</v>
      </c>
      <c r="E75" s="69">
        <f>14190</f>
        <v>14190</v>
      </c>
      <c r="F75" s="10"/>
      <c r="G75" s="44">
        <f>SUM(E75*5%)+(F75*5%)+0.5</f>
        <v>710</v>
      </c>
      <c r="H75" s="101"/>
      <c r="I75" s="133">
        <f>I$6</f>
        <v>0</v>
      </c>
      <c r="J75" s="12"/>
      <c r="K75" s="57">
        <f t="shared" si="6"/>
        <v>710</v>
      </c>
      <c r="L75" s="47">
        <f t="shared" si="7"/>
        <v>13480</v>
      </c>
      <c r="M75" s="24"/>
      <c r="N75" s="23"/>
    </row>
    <row r="76" spans="1:14" ht="23.25" customHeight="1" thickBot="1">
      <c r="A76" s="19"/>
      <c r="B76" s="19" t="s">
        <v>4</v>
      </c>
      <c r="C76" s="20"/>
      <c r="D76" s="21">
        <f>SUM(D19,D124:D165)</f>
        <v>0</v>
      </c>
      <c r="E76" s="31">
        <f>SUM(E51,E55:E75)</f>
        <v>545411.93999999994</v>
      </c>
      <c r="F76" s="31">
        <f t="shared" ref="F76:K76" si="9">SUM(F51,F55:F75)</f>
        <v>0</v>
      </c>
      <c r="G76" s="31">
        <f t="shared" si="9"/>
        <v>26900.997600000002</v>
      </c>
      <c r="H76" s="31">
        <f t="shared" si="9"/>
        <v>0</v>
      </c>
      <c r="I76" s="31">
        <f t="shared" si="9"/>
        <v>0</v>
      </c>
      <c r="J76" s="111">
        <f t="shared" si="9"/>
        <v>0</v>
      </c>
      <c r="K76" s="31">
        <f t="shared" si="9"/>
        <v>26900.997600000002</v>
      </c>
      <c r="L76" s="31">
        <f>SUM(L51,L55:L75)</f>
        <v>518510.9424</v>
      </c>
      <c r="M76" s="25"/>
      <c r="N76" s="23"/>
    </row>
    <row r="77" spans="1:14" s="13" customFormat="1" ht="23.25" customHeight="1" thickTop="1">
      <c r="A77" s="448">
        <v>4</v>
      </c>
      <c r="B77" s="448"/>
      <c r="C77" s="448"/>
      <c r="D77" s="448"/>
      <c r="E77" s="448"/>
      <c r="F77" s="448"/>
      <c r="G77" s="448"/>
      <c r="H77" s="448"/>
      <c r="I77" s="448"/>
      <c r="J77" s="448"/>
      <c r="K77" s="448"/>
      <c r="L77" s="448"/>
      <c r="M77" s="15"/>
      <c r="N77" s="26"/>
    </row>
    <row r="78" spans="1:14" ht="23.25" customHeight="1">
      <c r="A78" s="449" t="s">
        <v>1</v>
      </c>
      <c r="B78" s="451" t="s">
        <v>2</v>
      </c>
      <c r="C78" s="449" t="s">
        <v>9</v>
      </c>
      <c r="D78" s="449" t="s">
        <v>10</v>
      </c>
      <c r="E78" s="454" t="s">
        <v>11</v>
      </c>
      <c r="F78" s="93" t="s">
        <v>230</v>
      </c>
      <c r="G78" s="456" t="s">
        <v>14</v>
      </c>
      <c r="H78" s="457"/>
      <c r="I78" s="457"/>
      <c r="J78" s="458"/>
      <c r="K78" s="6" t="s">
        <v>6</v>
      </c>
      <c r="L78" s="6" t="s">
        <v>3</v>
      </c>
    </row>
    <row r="79" spans="1:14" ht="23.25" customHeight="1">
      <c r="A79" s="450"/>
      <c r="B79" s="452"/>
      <c r="C79" s="453"/>
      <c r="D79" s="453"/>
      <c r="E79" s="455"/>
      <c r="F79" s="61"/>
      <c r="G79" s="30" t="s">
        <v>12</v>
      </c>
      <c r="H79" s="116" t="s">
        <v>244</v>
      </c>
      <c r="I79" s="8" t="s">
        <v>7</v>
      </c>
      <c r="J79" s="33" t="s">
        <v>8</v>
      </c>
      <c r="K79" s="7" t="s">
        <v>13</v>
      </c>
      <c r="L79" s="9" t="s">
        <v>184</v>
      </c>
    </row>
    <row r="80" spans="1:14" ht="23.25" customHeight="1">
      <c r="A80" s="35">
        <v>55</v>
      </c>
      <c r="B80" s="41" t="s">
        <v>164</v>
      </c>
      <c r="C80" s="80" t="s">
        <v>165</v>
      </c>
      <c r="D80" s="87" t="s">
        <v>166</v>
      </c>
      <c r="E80" s="69">
        <v>13810</v>
      </c>
      <c r="F80" s="10"/>
      <c r="G80" s="44">
        <f>SUM(E80*5%)+(F80*5%)+0.5</f>
        <v>691</v>
      </c>
      <c r="H80" s="101"/>
      <c r="I80" s="133">
        <f>I$6</f>
        <v>0</v>
      </c>
      <c r="J80" s="12"/>
      <c r="K80" s="57">
        <f t="shared" ref="K80:K100" si="10">SUM(G80:J80)</f>
        <v>691</v>
      </c>
      <c r="L80" s="47">
        <f t="shared" ref="L80:L100" si="11">SUM(E80+F80-K80)</f>
        <v>13119</v>
      </c>
      <c r="M80" s="24"/>
      <c r="N80" s="23"/>
    </row>
    <row r="81" spans="1:15" s="32" customFormat="1" ht="23.25" customHeight="1">
      <c r="A81" s="42">
        <v>56</v>
      </c>
      <c r="B81" s="49" t="s">
        <v>177</v>
      </c>
      <c r="C81" s="81" t="s">
        <v>178</v>
      </c>
      <c r="D81" s="64" t="s">
        <v>179</v>
      </c>
      <c r="E81" s="70">
        <f>13400</f>
        <v>13400</v>
      </c>
      <c r="F81" s="50"/>
      <c r="G81" s="44">
        <f>SUM(E81*5%)+(F81*5%)</f>
        <v>670</v>
      </c>
      <c r="H81" s="73"/>
      <c r="I81" s="133">
        <f>I$6</f>
        <v>0</v>
      </c>
      <c r="J81" s="52"/>
      <c r="K81" s="57">
        <f t="shared" si="10"/>
        <v>670</v>
      </c>
      <c r="L81" s="47">
        <f t="shared" si="11"/>
        <v>12730</v>
      </c>
      <c r="M81" s="158"/>
      <c r="N81" s="146"/>
      <c r="O81" s="147"/>
    </row>
    <row r="82" spans="1:15" ht="23.25" customHeight="1">
      <c r="A82" s="42">
        <v>57</v>
      </c>
      <c r="B82" s="41" t="s">
        <v>192</v>
      </c>
      <c r="C82" s="80" t="s">
        <v>178</v>
      </c>
      <c r="D82" s="63" t="s">
        <v>199</v>
      </c>
      <c r="E82" s="70">
        <f>13400</f>
        <v>13400</v>
      </c>
      <c r="F82" s="10"/>
      <c r="G82" s="22">
        <f>SUM(E82*5%)+(F82*5%)</f>
        <v>670</v>
      </c>
      <c r="H82" s="101"/>
      <c r="I82" s="133">
        <f>I$6</f>
        <v>0</v>
      </c>
      <c r="J82" s="12"/>
      <c r="K82" s="57">
        <f t="shared" si="10"/>
        <v>670</v>
      </c>
      <c r="L82" s="47">
        <f t="shared" si="11"/>
        <v>12730</v>
      </c>
      <c r="M82" s="24"/>
      <c r="N82" s="23"/>
    </row>
    <row r="83" spans="1:15" s="32" customFormat="1" ht="23.25" customHeight="1">
      <c r="A83" s="42">
        <v>58</v>
      </c>
      <c r="B83" s="36" t="s">
        <v>15</v>
      </c>
      <c r="C83" s="79" t="s">
        <v>245</v>
      </c>
      <c r="D83" s="62" t="s">
        <v>16</v>
      </c>
      <c r="E83" s="74">
        <f>13080</f>
        <v>13080</v>
      </c>
      <c r="F83" s="37"/>
      <c r="G83" s="75">
        <f>SUM(E83*5%)+(F83*5%)</f>
        <v>654</v>
      </c>
      <c r="H83" s="58"/>
      <c r="I83" s="131"/>
      <c r="J83" s="56"/>
      <c r="K83" s="76">
        <f t="shared" si="10"/>
        <v>654</v>
      </c>
      <c r="L83" s="77">
        <f t="shared" si="11"/>
        <v>12426</v>
      </c>
      <c r="M83" s="39"/>
      <c r="N83" s="40"/>
    </row>
    <row r="84" spans="1:15" s="32" customFormat="1" ht="23.25" customHeight="1">
      <c r="A84" s="42">
        <v>59</v>
      </c>
      <c r="B84" s="36" t="s">
        <v>375</v>
      </c>
      <c r="C84" s="79" t="s">
        <v>245</v>
      </c>
      <c r="D84" s="62" t="s">
        <v>411</v>
      </c>
      <c r="E84" s="69">
        <f>11510</f>
        <v>11510</v>
      </c>
      <c r="F84" s="43"/>
      <c r="G84" s="75">
        <f>SUM(E84*5%)+F84*5%+0.5</f>
        <v>576</v>
      </c>
      <c r="H84" s="59"/>
      <c r="I84" s="137"/>
      <c r="J84" s="46"/>
      <c r="K84" s="77">
        <f t="shared" si="10"/>
        <v>576</v>
      </c>
      <c r="L84" s="77">
        <f t="shared" si="11"/>
        <v>10934</v>
      </c>
      <c r="M84" s="213" t="s">
        <v>377</v>
      </c>
      <c r="N84" s="40"/>
    </row>
    <row r="85" spans="1:15" s="32" customFormat="1" ht="23.25" customHeight="1">
      <c r="A85" s="42">
        <v>60</v>
      </c>
      <c r="B85" s="36" t="s">
        <v>376</v>
      </c>
      <c r="C85" s="79" t="s">
        <v>55</v>
      </c>
      <c r="D85" s="62" t="s">
        <v>407</v>
      </c>
      <c r="E85" s="67">
        <f>11510</f>
        <v>11510</v>
      </c>
      <c r="F85" s="37"/>
      <c r="G85" s="22">
        <f>SUM(E85*5%)+(F85*5%)+0.5</f>
        <v>576</v>
      </c>
      <c r="H85" s="58"/>
      <c r="I85" s="151"/>
      <c r="J85" s="56"/>
      <c r="K85" s="38">
        <f t="shared" si="10"/>
        <v>576</v>
      </c>
      <c r="L85" s="47">
        <f>SUM(E85+F85-K85)</f>
        <v>10934</v>
      </c>
      <c r="M85" s="105" t="s">
        <v>378</v>
      </c>
      <c r="N85" s="40"/>
    </row>
    <row r="86" spans="1:15" s="32" customFormat="1" ht="23.25" customHeight="1">
      <c r="A86" s="42">
        <v>61</v>
      </c>
      <c r="B86" s="41" t="s">
        <v>272</v>
      </c>
      <c r="C86" s="80" t="s">
        <v>55</v>
      </c>
      <c r="D86" s="63" t="s">
        <v>273</v>
      </c>
      <c r="E86" s="70">
        <f>11700</f>
        <v>11700</v>
      </c>
      <c r="F86" s="37"/>
      <c r="G86" s="75">
        <f>SUM(E86*5%)+F86*5%</f>
        <v>585</v>
      </c>
      <c r="H86" s="59"/>
      <c r="I86" s="137"/>
      <c r="J86" s="46"/>
      <c r="K86" s="77">
        <f t="shared" si="10"/>
        <v>585</v>
      </c>
      <c r="L86" s="77">
        <f t="shared" si="11"/>
        <v>11115</v>
      </c>
      <c r="M86" s="39"/>
      <c r="N86" s="40"/>
    </row>
    <row r="87" spans="1:15" s="32" customFormat="1" ht="23.25" customHeight="1">
      <c r="A87" s="42">
        <v>62</v>
      </c>
      <c r="B87" s="41" t="s">
        <v>303</v>
      </c>
      <c r="C87" s="80" t="s">
        <v>358</v>
      </c>
      <c r="D87" s="63" t="s">
        <v>304</v>
      </c>
      <c r="E87" s="69">
        <f>11700</f>
        <v>11700</v>
      </c>
      <c r="F87" s="43"/>
      <c r="G87" s="75">
        <f>SUM(E87*5%)+F87*5%</f>
        <v>585</v>
      </c>
      <c r="H87" s="59"/>
      <c r="I87" s="133">
        <f>I$6</f>
        <v>0</v>
      </c>
      <c r="J87" s="46"/>
      <c r="K87" s="57">
        <f t="shared" si="10"/>
        <v>585</v>
      </c>
      <c r="L87" s="47">
        <f t="shared" si="11"/>
        <v>11115</v>
      </c>
      <c r="M87" s="34"/>
      <c r="N87" s="40"/>
    </row>
    <row r="88" spans="1:15" s="32" customFormat="1" ht="23.25" customHeight="1">
      <c r="A88" s="42">
        <v>63</v>
      </c>
      <c r="B88" s="106" t="s">
        <v>276</v>
      </c>
      <c r="C88" s="84" t="s">
        <v>277</v>
      </c>
      <c r="D88" s="107" t="s">
        <v>278</v>
      </c>
      <c r="E88" s="70">
        <f>11700</f>
        <v>11700</v>
      </c>
      <c r="F88" s="37"/>
      <c r="G88" s="75">
        <f>SUM(E88*5%)+F88*5%</f>
        <v>585</v>
      </c>
      <c r="H88" s="59"/>
      <c r="I88" s="137"/>
      <c r="J88" s="46"/>
      <c r="K88" s="77">
        <f t="shared" si="10"/>
        <v>585</v>
      </c>
      <c r="L88" s="77">
        <f t="shared" si="11"/>
        <v>11115</v>
      </c>
      <c r="M88" s="39"/>
      <c r="N88" s="40"/>
    </row>
    <row r="89" spans="1:15" s="32" customFormat="1" ht="23.25" customHeight="1">
      <c r="A89" s="42">
        <v>64</v>
      </c>
      <c r="B89" s="41" t="s">
        <v>356</v>
      </c>
      <c r="C89" s="85" t="s">
        <v>285</v>
      </c>
      <c r="D89" s="63" t="s">
        <v>357</v>
      </c>
      <c r="E89" s="69">
        <f>11510</f>
        <v>11510</v>
      </c>
      <c r="F89" s="43"/>
      <c r="G89" s="75">
        <f>SUM(E89*5%)+F89*5%+0.5</f>
        <v>576</v>
      </c>
      <c r="H89" s="94"/>
      <c r="I89" s="135"/>
      <c r="J89" s="46"/>
      <c r="K89" s="76">
        <f t="shared" si="10"/>
        <v>576</v>
      </c>
      <c r="L89" s="76">
        <f t="shared" si="11"/>
        <v>10934</v>
      </c>
      <c r="M89" s="39"/>
      <c r="N89" s="40"/>
    </row>
    <row r="90" spans="1:15" s="32" customFormat="1" ht="23.25" customHeight="1">
      <c r="A90" s="42">
        <v>65</v>
      </c>
      <c r="B90" s="41" t="s">
        <v>288</v>
      </c>
      <c r="C90" s="85" t="s">
        <v>289</v>
      </c>
      <c r="D90" s="63" t="s">
        <v>290</v>
      </c>
      <c r="E90" s="69">
        <f>11700</f>
        <v>11700</v>
      </c>
      <c r="F90" s="159"/>
      <c r="G90" s="75">
        <f>SUM(E90*5%)+F90*5%</f>
        <v>585</v>
      </c>
      <c r="H90" s="94"/>
      <c r="I90" s="135"/>
      <c r="J90" s="46"/>
      <c r="K90" s="76">
        <f t="shared" si="10"/>
        <v>585</v>
      </c>
      <c r="L90" s="76">
        <f t="shared" si="11"/>
        <v>11115</v>
      </c>
      <c r="M90" s="39"/>
      <c r="N90" s="40"/>
    </row>
    <row r="91" spans="1:15" ht="23.25" customHeight="1">
      <c r="A91" s="42">
        <v>66</v>
      </c>
      <c r="B91" s="41" t="s">
        <v>291</v>
      </c>
      <c r="C91" s="85" t="s">
        <v>292</v>
      </c>
      <c r="D91" s="63" t="s">
        <v>293</v>
      </c>
      <c r="E91" s="69">
        <f>11700</f>
        <v>11700</v>
      </c>
      <c r="F91" s="168"/>
      <c r="G91" s="75">
        <f>SUM(E91*5%)+F91*5%</f>
        <v>585</v>
      </c>
      <c r="H91" s="11"/>
      <c r="I91" s="139"/>
      <c r="J91" s="12"/>
      <c r="K91" s="57">
        <f t="shared" si="10"/>
        <v>585</v>
      </c>
      <c r="L91" s="47">
        <f t="shared" si="11"/>
        <v>11115</v>
      </c>
      <c r="M91" s="24"/>
      <c r="N91" s="23"/>
    </row>
    <row r="92" spans="1:15" s="32" customFormat="1" ht="23.25" customHeight="1">
      <c r="A92" s="42">
        <v>67</v>
      </c>
      <c r="B92" s="41" t="s">
        <v>279</v>
      </c>
      <c r="C92" s="85" t="s">
        <v>280</v>
      </c>
      <c r="D92" s="63" t="s">
        <v>281</v>
      </c>
      <c r="E92" s="69">
        <f>11700</f>
        <v>11700</v>
      </c>
      <c r="F92" s="43"/>
      <c r="G92" s="75">
        <f>SUM(E92*5%)+F92*5%</f>
        <v>585</v>
      </c>
      <c r="H92" s="59"/>
      <c r="I92" s="133">
        <f>I$6</f>
        <v>0</v>
      </c>
      <c r="J92" s="46"/>
      <c r="K92" s="76">
        <f t="shared" si="10"/>
        <v>585</v>
      </c>
      <c r="L92" s="76">
        <f t="shared" si="11"/>
        <v>11115</v>
      </c>
      <c r="M92" s="39"/>
      <c r="N92" s="40"/>
    </row>
    <row r="93" spans="1:15" s="32" customFormat="1" ht="23.25" customHeight="1">
      <c r="A93" s="42">
        <v>68</v>
      </c>
      <c r="B93" s="41" t="s">
        <v>316</v>
      </c>
      <c r="C93" s="80" t="s">
        <v>62</v>
      </c>
      <c r="D93" s="63" t="s">
        <v>317</v>
      </c>
      <c r="E93" s="69">
        <f>11700</f>
        <v>11700</v>
      </c>
      <c r="F93" s="43"/>
      <c r="G93" s="75">
        <f>SUM(E93*5%)+(F93*5%)</f>
        <v>585</v>
      </c>
      <c r="H93" s="59"/>
      <c r="I93" s="133"/>
      <c r="J93" s="46"/>
      <c r="K93" s="57">
        <f t="shared" si="10"/>
        <v>585</v>
      </c>
      <c r="L93" s="47">
        <f t="shared" si="11"/>
        <v>11115</v>
      </c>
      <c r="M93" s="39"/>
      <c r="N93" s="40"/>
    </row>
    <row r="94" spans="1:15" ht="23.25" customHeight="1">
      <c r="A94" s="42">
        <v>69</v>
      </c>
      <c r="B94" s="41" t="s">
        <v>238</v>
      </c>
      <c r="C94" s="80" t="s">
        <v>62</v>
      </c>
      <c r="D94" s="87" t="s">
        <v>123</v>
      </c>
      <c r="E94" s="68">
        <f>13940</f>
        <v>13940</v>
      </c>
      <c r="F94" s="168"/>
      <c r="G94" s="44">
        <f>SUM(E94*5%)+(F94*5%)</f>
        <v>697</v>
      </c>
      <c r="H94" s="101"/>
      <c r="I94" s="133">
        <f>I$6</f>
        <v>0</v>
      </c>
      <c r="J94" s="12"/>
      <c r="K94" s="57">
        <f t="shared" si="10"/>
        <v>697</v>
      </c>
      <c r="L94" s="47">
        <f t="shared" si="11"/>
        <v>13243</v>
      </c>
      <c r="M94" s="24"/>
      <c r="N94" s="23"/>
    </row>
    <row r="95" spans="1:15" ht="23.25" customHeight="1">
      <c r="A95" s="42">
        <v>70</v>
      </c>
      <c r="B95" s="41" t="s">
        <v>338</v>
      </c>
      <c r="C95" s="80" t="s">
        <v>62</v>
      </c>
      <c r="D95" s="87" t="s">
        <v>339</v>
      </c>
      <c r="E95" s="69">
        <f>11700</f>
        <v>11700</v>
      </c>
      <c r="F95" s="10"/>
      <c r="G95" s="44">
        <f>SUM(E95*5%)+(F95*5%)</f>
        <v>585</v>
      </c>
      <c r="H95" s="11"/>
      <c r="I95" s="133"/>
      <c r="J95" s="12"/>
      <c r="K95" s="57">
        <f t="shared" si="10"/>
        <v>585</v>
      </c>
      <c r="L95" s="47">
        <f t="shared" si="11"/>
        <v>11115</v>
      </c>
      <c r="M95" s="24"/>
      <c r="N95" s="23"/>
    </row>
    <row r="96" spans="1:15" s="147" customFormat="1" ht="23.25" customHeight="1">
      <c r="A96" s="42">
        <v>71</v>
      </c>
      <c r="B96" s="41" t="s">
        <v>343</v>
      </c>
      <c r="C96" s="80" t="s">
        <v>62</v>
      </c>
      <c r="D96" s="63" t="s">
        <v>344</v>
      </c>
      <c r="E96" s="69">
        <f>11700</f>
        <v>11700</v>
      </c>
      <c r="F96" s="43"/>
      <c r="G96" s="75">
        <f>SUM(E96*5%)+(F96*5%)</f>
        <v>585</v>
      </c>
      <c r="H96" s="59"/>
      <c r="I96" s="137"/>
      <c r="J96" s="46"/>
      <c r="K96" s="57">
        <f t="shared" si="10"/>
        <v>585</v>
      </c>
      <c r="L96" s="47">
        <f t="shared" si="11"/>
        <v>11115</v>
      </c>
      <c r="M96" s="145"/>
      <c r="N96" s="146"/>
    </row>
    <row r="97" spans="1:14" ht="23.25" customHeight="1">
      <c r="A97" s="42">
        <v>72</v>
      </c>
      <c r="B97" s="41" t="s">
        <v>379</v>
      </c>
      <c r="C97" s="80" t="s">
        <v>66</v>
      </c>
      <c r="D97" s="87" t="s">
        <v>405</v>
      </c>
      <c r="E97" s="68">
        <f>11510</f>
        <v>11510</v>
      </c>
      <c r="F97" s="10"/>
      <c r="G97" s="51">
        <f>SUM(E97*5%)+(F97*5%)+0.5</f>
        <v>576</v>
      </c>
      <c r="H97" s="11"/>
      <c r="I97" s="133"/>
      <c r="J97" s="12"/>
      <c r="K97" s="57">
        <f t="shared" si="10"/>
        <v>576</v>
      </c>
      <c r="L97" s="47">
        <f t="shared" si="11"/>
        <v>10934</v>
      </c>
      <c r="M97" s="105" t="s">
        <v>381</v>
      </c>
      <c r="N97" s="23"/>
    </row>
    <row r="98" spans="1:14" s="32" customFormat="1" ht="23.25" customHeight="1">
      <c r="A98" s="42">
        <v>73</v>
      </c>
      <c r="B98" s="41" t="s">
        <v>380</v>
      </c>
      <c r="C98" s="80" t="s">
        <v>66</v>
      </c>
      <c r="D98" s="63" t="s">
        <v>404</v>
      </c>
      <c r="E98" s="69">
        <f>11510</f>
        <v>11510</v>
      </c>
      <c r="F98" s="43"/>
      <c r="G98" s="75">
        <f>SUM(E98*5%)+(F98*5%)+0.5</f>
        <v>576</v>
      </c>
      <c r="H98" s="59"/>
      <c r="I98" s="133"/>
      <c r="J98" s="52"/>
      <c r="K98" s="57">
        <f t="shared" si="10"/>
        <v>576</v>
      </c>
      <c r="L98" s="47">
        <f t="shared" si="11"/>
        <v>10934</v>
      </c>
      <c r="M98" s="105" t="s">
        <v>381</v>
      </c>
      <c r="N98" s="40"/>
    </row>
    <row r="99" spans="1:14" s="32" customFormat="1" ht="23.25" customHeight="1">
      <c r="A99" s="42">
        <v>74</v>
      </c>
      <c r="B99" s="41" t="s">
        <v>68</v>
      </c>
      <c r="C99" s="80" t="s">
        <v>66</v>
      </c>
      <c r="D99" s="63" t="s">
        <v>69</v>
      </c>
      <c r="E99" s="69">
        <f>13400</f>
        <v>13400</v>
      </c>
      <c r="F99" s="43"/>
      <c r="G99" s="75">
        <f>SUM(E99*5%)+(F99*5%)</f>
        <v>670</v>
      </c>
      <c r="H99" s="59"/>
      <c r="I99" s="133">
        <f>I$6</f>
        <v>0</v>
      </c>
      <c r="J99" s="46"/>
      <c r="K99" s="57">
        <f t="shared" si="10"/>
        <v>670</v>
      </c>
      <c r="L99" s="47">
        <f t="shared" si="11"/>
        <v>12730</v>
      </c>
      <c r="M99" s="39"/>
      <c r="N99" s="40"/>
    </row>
    <row r="100" spans="1:14" s="32" customFormat="1" ht="23.25" customHeight="1">
      <c r="A100" s="42">
        <v>75</v>
      </c>
      <c r="B100" s="41" t="s">
        <v>382</v>
      </c>
      <c r="C100" s="80" t="s">
        <v>66</v>
      </c>
      <c r="D100" s="63" t="s">
        <v>406</v>
      </c>
      <c r="E100" s="69">
        <f>11510</f>
        <v>11510</v>
      </c>
      <c r="F100" s="43"/>
      <c r="G100" s="51">
        <f>SUM(E100*5%)+(F100*5%)+0.5</f>
        <v>576</v>
      </c>
      <c r="H100" s="59"/>
      <c r="I100" s="137"/>
      <c r="J100" s="46"/>
      <c r="K100" s="57">
        <f t="shared" si="10"/>
        <v>576</v>
      </c>
      <c r="L100" s="47">
        <f t="shared" si="11"/>
        <v>10934</v>
      </c>
      <c r="M100" s="105" t="s">
        <v>381</v>
      </c>
      <c r="N100" s="40"/>
    </row>
    <row r="101" spans="1:14" ht="23.25" customHeight="1" thickBot="1">
      <c r="A101" s="19"/>
      <c r="B101" s="19" t="s">
        <v>4</v>
      </c>
      <c r="C101" s="20"/>
      <c r="D101" s="21">
        <f>SUM(D19,D46:D47)</f>
        <v>0</v>
      </c>
      <c r="E101" s="31">
        <f t="shared" ref="E101:L101" si="12">SUM(E76,E80:E100)</f>
        <v>800801.94</v>
      </c>
      <c r="F101" s="31">
        <f t="shared" si="12"/>
        <v>0</v>
      </c>
      <c r="G101" s="31">
        <f t="shared" si="12"/>
        <v>39673.997600000002</v>
      </c>
      <c r="H101" s="31">
        <f t="shared" si="12"/>
        <v>0</v>
      </c>
      <c r="I101" s="31">
        <f t="shared" si="12"/>
        <v>0</v>
      </c>
      <c r="J101" s="111">
        <f t="shared" si="12"/>
        <v>0</v>
      </c>
      <c r="K101" s="31">
        <f t="shared" si="12"/>
        <v>39673.997600000002</v>
      </c>
      <c r="L101" s="31">
        <f t="shared" si="12"/>
        <v>761127.94240000006</v>
      </c>
      <c r="M101" s="25"/>
      <c r="N101" s="23"/>
    </row>
    <row r="102" spans="1:14" s="13" customFormat="1" ht="23.25" customHeight="1" thickTop="1">
      <c r="A102" s="448">
        <v>5</v>
      </c>
      <c r="B102" s="448"/>
      <c r="C102" s="448"/>
      <c r="D102" s="448"/>
      <c r="E102" s="448"/>
      <c r="F102" s="448"/>
      <c r="G102" s="448"/>
      <c r="H102" s="448"/>
      <c r="I102" s="448"/>
      <c r="J102" s="448"/>
      <c r="K102" s="448"/>
      <c r="L102" s="448"/>
      <c r="M102" s="15"/>
      <c r="N102" s="26"/>
    </row>
    <row r="103" spans="1:14" ht="23.25" customHeight="1">
      <c r="A103" s="449" t="s">
        <v>1</v>
      </c>
      <c r="B103" s="451" t="s">
        <v>2</v>
      </c>
      <c r="C103" s="449" t="s">
        <v>9</v>
      </c>
      <c r="D103" s="449" t="s">
        <v>10</v>
      </c>
      <c r="E103" s="454" t="s">
        <v>11</v>
      </c>
      <c r="F103" s="93" t="s">
        <v>230</v>
      </c>
      <c r="G103" s="456" t="s">
        <v>14</v>
      </c>
      <c r="H103" s="457"/>
      <c r="I103" s="457"/>
      <c r="J103" s="458"/>
      <c r="K103" s="6" t="s">
        <v>6</v>
      </c>
      <c r="L103" s="6" t="s">
        <v>3</v>
      </c>
    </row>
    <row r="104" spans="1:14" ht="23.25" customHeight="1">
      <c r="A104" s="450"/>
      <c r="B104" s="452"/>
      <c r="C104" s="453"/>
      <c r="D104" s="453"/>
      <c r="E104" s="455"/>
      <c r="F104" s="61"/>
      <c r="G104" s="30" t="s">
        <v>12</v>
      </c>
      <c r="H104" s="116" t="s">
        <v>244</v>
      </c>
      <c r="I104" s="8" t="s">
        <v>7</v>
      </c>
      <c r="J104" s="33" t="s">
        <v>8</v>
      </c>
      <c r="K104" s="7" t="s">
        <v>13</v>
      </c>
      <c r="L104" s="9" t="s">
        <v>184</v>
      </c>
    </row>
    <row r="105" spans="1:14" ht="23.25" customHeight="1">
      <c r="A105" s="35">
        <v>76</v>
      </c>
      <c r="B105" s="49" t="s">
        <v>419</v>
      </c>
      <c r="C105" s="81" t="s">
        <v>74</v>
      </c>
      <c r="D105" s="82" t="s">
        <v>422</v>
      </c>
      <c r="E105" s="68">
        <f>11510</f>
        <v>11510</v>
      </c>
      <c r="F105" s="10"/>
      <c r="G105" s="51">
        <f>SUM(E105*5%)+(F105*5%)+0.5</f>
        <v>576</v>
      </c>
      <c r="H105" s="16"/>
      <c r="I105" s="150"/>
      <c r="J105" s="17"/>
      <c r="K105" s="57">
        <f t="shared" ref="K105:K125" si="13">SUM(G105:J105)</f>
        <v>576</v>
      </c>
      <c r="L105" s="47">
        <f t="shared" ref="L105:L125" si="14">SUM(E105+F105-K105)</f>
        <v>10934</v>
      </c>
      <c r="M105" s="24"/>
      <c r="N105" s="23"/>
    </row>
    <row r="106" spans="1:14" ht="23.25" customHeight="1">
      <c r="A106" s="42">
        <v>77</v>
      </c>
      <c r="B106" s="41" t="s">
        <v>229</v>
      </c>
      <c r="C106" s="80" t="s">
        <v>74</v>
      </c>
      <c r="D106" s="87" t="s">
        <v>231</v>
      </c>
      <c r="E106" s="69">
        <f>12150</f>
        <v>12150</v>
      </c>
      <c r="F106" s="43"/>
      <c r="G106" s="51">
        <f>SUM(E106*5%)+(F106*5%)+0.5</f>
        <v>608</v>
      </c>
      <c r="H106" s="11"/>
      <c r="I106" s="139"/>
      <c r="J106" s="12"/>
      <c r="K106" s="57">
        <f t="shared" si="13"/>
        <v>608</v>
      </c>
      <c r="L106" s="47">
        <f t="shared" si="14"/>
        <v>11542</v>
      </c>
      <c r="M106" s="24"/>
      <c r="N106" s="23"/>
    </row>
    <row r="107" spans="1:14" ht="23.25" customHeight="1">
      <c r="A107" s="42">
        <v>78</v>
      </c>
      <c r="B107" s="49" t="s">
        <v>128</v>
      </c>
      <c r="C107" s="81" t="s">
        <v>79</v>
      </c>
      <c r="D107" s="82" t="s">
        <v>129</v>
      </c>
      <c r="E107" s="68">
        <f>14020</f>
        <v>14020</v>
      </c>
      <c r="F107" s="10"/>
      <c r="G107" s="51">
        <f>SUM(E107*5%)+(F107*5%)</f>
        <v>701</v>
      </c>
      <c r="H107" s="16"/>
      <c r="I107" s="133">
        <f>I$6</f>
        <v>0</v>
      </c>
      <c r="J107" s="18"/>
      <c r="K107" s="57">
        <f t="shared" si="13"/>
        <v>701</v>
      </c>
      <c r="L107" s="47">
        <f t="shared" si="14"/>
        <v>13319</v>
      </c>
      <c r="M107" s="13"/>
      <c r="N107" s="23"/>
    </row>
    <row r="108" spans="1:14" ht="23.25" customHeight="1">
      <c r="A108" s="42">
        <v>79</v>
      </c>
      <c r="B108" s="49" t="s">
        <v>239</v>
      </c>
      <c r="C108" s="81" t="s">
        <v>79</v>
      </c>
      <c r="D108" s="82" t="s">
        <v>130</v>
      </c>
      <c r="E108" s="68">
        <f>14390</f>
        <v>14390</v>
      </c>
      <c r="F108" s="10"/>
      <c r="G108" s="51">
        <f>SUM(E108*5%)+(F108*5%)+0.5</f>
        <v>720</v>
      </c>
      <c r="H108" s="99"/>
      <c r="I108" s="133">
        <f>I$6</f>
        <v>0</v>
      </c>
      <c r="J108" s="18"/>
      <c r="K108" s="57">
        <f t="shared" si="13"/>
        <v>720</v>
      </c>
      <c r="L108" s="47">
        <f t="shared" si="14"/>
        <v>13670</v>
      </c>
      <c r="M108" s="13"/>
      <c r="N108" s="23"/>
    </row>
    <row r="109" spans="1:14" s="32" customFormat="1" ht="23.25" customHeight="1">
      <c r="A109" s="42">
        <v>80</v>
      </c>
      <c r="B109" s="41" t="s">
        <v>78</v>
      </c>
      <c r="C109" s="80" t="s">
        <v>79</v>
      </c>
      <c r="D109" s="63" t="s">
        <v>80</v>
      </c>
      <c r="E109" s="69">
        <f>12960</f>
        <v>12960</v>
      </c>
      <c r="F109" s="43"/>
      <c r="G109" s="51">
        <f>SUM(E109*5%)+(F109*5%)</f>
        <v>648</v>
      </c>
      <c r="H109" s="94"/>
      <c r="I109" s="137"/>
      <c r="J109" s="46"/>
      <c r="K109" s="57">
        <f t="shared" si="13"/>
        <v>648</v>
      </c>
      <c r="L109" s="47">
        <f t="shared" si="14"/>
        <v>12312</v>
      </c>
      <c r="M109" s="34"/>
      <c r="N109" s="40"/>
    </row>
    <row r="110" spans="1:14" s="32" customFormat="1" ht="23.25" customHeight="1">
      <c r="A110" s="42">
        <v>81</v>
      </c>
      <c r="B110" s="36" t="s">
        <v>81</v>
      </c>
      <c r="C110" s="79" t="s">
        <v>79</v>
      </c>
      <c r="D110" s="62" t="s">
        <v>82</v>
      </c>
      <c r="E110" s="69">
        <f>13400</f>
        <v>13400</v>
      </c>
      <c r="F110" s="43"/>
      <c r="G110" s="51">
        <f>SUM(E110*5%)+(F110*5%)</f>
        <v>670</v>
      </c>
      <c r="H110" s="160"/>
      <c r="I110" s="133">
        <f>I$6</f>
        <v>0</v>
      </c>
      <c r="J110" s="52">
        <f>J$6</f>
        <v>0</v>
      </c>
      <c r="K110" s="57">
        <f t="shared" si="13"/>
        <v>670</v>
      </c>
      <c r="L110" s="47">
        <f t="shared" si="14"/>
        <v>12730</v>
      </c>
      <c r="M110" s="39"/>
      <c r="N110" s="40"/>
    </row>
    <row r="111" spans="1:14" ht="23.25" customHeight="1">
      <c r="A111" s="42">
        <v>82</v>
      </c>
      <c r="B111" s="49" t="s">
        <v>131</v>
      </c>
      <c r="C111" s="81" t="s">
        <v>83</v>
      </c>
      <c r="D111" s="82" t="s">
        <v>132</v>
      </c>
      <c r="E111" s="71">
        <f>14080</f>
        <v>14080</v>
      </c>
      <c r="F111" s="10"/>
      <c r="G111" s="51">
        <f>SUM(E111*5%)+(F111*5%)</f>
        <v>704</v>
      </c>
      <c r="H111" s="99"/>
      <c r="I111" s="133">
        <f>I$6</f>
        <v>0</v>
      </c>
      <c r="J111" s="52">
        <f>J$6</f>
        <v>0</v>
      </c>
      <c r="K111" s="57">
        <f t="shared" si="13"/>
        <v>704</v>
      </c>
      <c r="L111" s="47">
        <f t="shared" si="14"/>
        <v>13376</v>
      </c>
      <c r="M111" s="13"/>
      <c r="N111" s="23"/>
    </row>
    <row r="112" spans="1:14" s="32" customFormat="1" ht="23.25" customHeight="1">
      <c r="A112" s="42">
        <v>83</v>
      </c>
      <c r="B112" s="41" t="s">
        <v>390</v>
      </c>
      <c r="C112" s="80" t="s">
        <v>83</v>
      </c>
      <c r="D112" s="63" t="s">
        <v>396</v>
      </c>
      <c r="E112" s="69">
        <f>11510</f>
        <v>11510</v>
      </c>
      <c r="F112" s="43"/>
      <c r="G112" s="51">
        <f>SUM(E112*5%)+(F112*5%)+0.5</f>
        <v>576</v>
      </c>
      <c r="H112" s="59"/>
      <c r="I112" s="133"/>
      <c r="J112" s="46"/>
      <c r="K112" s="57">
        <f t="shared" si="13"/>
        <v>576</v>
      </c>
      <c r="L112" s="47">
        <f t="shared" si="14"/>
        <v>10934</v>
      </c>
      <c r="M112" s="105"/>
      <c r="N112" s="40"/>
    </row>
    <row r="113" spans="1:14" s="32" customFormat="1" ht="23.25" customHeight="1">
      <c r="A113" s="42">
        <v>84</v>
      </c>
      <c r="B113" s="36" t="s">
        <v>326</v>
      </c>
      <c r="C113" s="84" t="s">
        <v>83</v>
      </c>
      <c r="D113" s="62" t="s">
        <v>335</v>
      </c>
      <c r="E113" s="70">
        <f>11700</f>
        <v>11700</v>
      </c>
      <c r="F113" s="37"/>
      <c r="G113" s="75">
        <f>SUM(E113*5%)+F113*5%</f>
        <v>585</v>
      </c>
      <c r="H113" s="100"/>
      <c r="I113" s="133">
        <f t="shared" ref="I113:I118" si="15">I$6</f>
        <v>0</v>
      </c>
      <c r="J113" s="46"/>
      <c r="K113" s="77">
        <f t="shared" si="13"/>
        <v>585</v>
      </c>
      <c r="L113" s="77">
        <f t="shared" si="14"/>
        <v>11115</v>
      </c>
      <c r="M113" s="39"/>
      <c r="N113" s="40"/>
    </row>
    <row r="114" spans="1:14" s="32" customFormat="1" ht="23.25" customHeight="1">
      <c r="A114" s="42">
        <v>85</v>
      </c>
      <c r="B114" s="49" t="s">
        <v>133</v>
      </c>
      <c r="C114" s="81" t="s">
        <v>355</v>
      </c>
      <c r="D114" s="64" t="s">
        <v>134</v>
      </c>
      <c r="E114" s="70">
        <f>14480</f>
        <v>14480</v>
      </c>
      <c r="F114" s="50"/>
      <c r="G114" s="51">
        <f>SUM(E114*5%)+(F114*5%)</f>
        <v>724</v>
      </c>
      <c r="H114" s="207"/>
      <c r="I114" s="133">
        <f t="shared" si="15"/>
        <v>0</v>
      </c>
      <c r="J114" s="52">
        <f>J$6</f>
        <v>0</v>
      </c>
      <c r="K114" s="57">
        <f t="shared" si="13"/>
        <v>724</v>
      </c>
      <c r="L114" s="47">
        <f t="shared" si="14"/>
        <v>13756</v>
      </c>
      <c r="M114" s="34"/>
      <c r="N114" s="40"/>
    </row>
    <row r="115" spans="1:14" ht="23.25" customHeight="1">
      <c r="A115" s="42">
        <v>86</v>
      </c>
      <c r="B115" s="41" t="s">
        <v>348</v>
      </c>
      <c r="C115" s="80" t="s">
        <v>147</v>
      </c>
      <c r="D115" s="87" t="s">
        <v>350</v>
      </c>
      <c r="E115" s="68">
        <f>11700</f>
        <v>11700</v>
      </c>
      <c r="F115" s="37"/>
      <c r="G115" s="51">
        <f>SUM(E115*5%)+(F115*5%)</f>
        <v>585</v>
      </c>
      <c r="H115" s="11"/>
      <c r="I115" s="133">
        <f t="shared" si="15"/>
        <v>0</v>
      </c>
      <c r="J115" s="12"/>
      <c r="K115" s="57">
        <f t="shared" si="13"/>
        <v>585</v>
      </c>
      <c r="L115" s="47">
        <f t="shared" si="14"/>
        <v>11115</v>
      </c>
      <c r="M115" s="24"/>
      <c r="N115" s="23"/>
    </row>
    <row r="116" spans="1:14" s="32" customFormat="1" ht="23.25" customHeight="1">
      <c r="A116" s="42">
        <v>87</v>
      </c>
      <c r="B116" s="41" t="s">
        <v>135</v>
      </c>
      <c r="C116" s="80" t="s">
        <v>92</v>
      </c>
      <c r="D116" s="63" t="s">
        <v>136</v>
      </c>
      <c r="E116" s="69">
        <f>14050</f>
        <v>14050</v>
      </c>
      <c r="F116" s="43"/>
      <c r="G116" s="51">
        <f>SUM(E116*5%)+(F116*5%)+0.5</f>
        <v>703</v>
      </c>
      <c r="H116" s="100"/>
      <c r="I116" s="133">
        <f t="shared" si="15"/>
        <v>0</v>
      </c>
      <c r="J116" s="46"/>
      <c r="K116" s="57">
        <f t="shared" si="13"/>
        <v>703</v>
      </c>
      <c r="L116" s="47">
        <f t="shared" si="14"/>
        <v>13347</v>
      </c>
      <c r="M116" s="34"/>
      <c r="N116" s="40"/>
    </row>
    <row r="117" spans="1:14" s="32" customFormat="1" ht="23.25" customHeight="1">
      <c r="A117" s="42">
        <v>88</v>
      </c>
      <c r="B117" s="41" t="s">
        <v>91</v>
      </c>
      <c r="C117" s="80" t="s">
        <v>92</v>
      </c>
      <c r="D117" s="63" t="s">
        <v>93</v>
      </c>
      <c r="E117" s="69">
        <f>13280</f>
        <v>13280</v>
      </c>
      <c r="F117" s="43"/>
      <c r="G117" s="51">
        <f>SUM(E117*5%)+(F117*5%)</f>
        <v>664</v>
      </c>
      <c r="H117" s="209"/>
      <c r="I117" s="133">
        <f t="shared" si="15"/>
        <v>0</v>
      </c>
      <c r="J117" s="46"/>
      <c r="K117" s="57">
        <f t="shared" si="13"/>
        <v>664</v>
      </c>
      <c r="L117" s="47">
        <f t="shared" si="14"/>
        <v>12616</v>
      </c>
      <c r="M117" s="39"/>
      <c r="N117" s="40"/>
    </row>
    <row r="118" spans="1:14" ht="23.25" customHeight="1">
      <c r="A118" s="42">
        <v>89</v>
      </c>
      <c r="B118" s="41" t="s">
        <v>94</v>
      </c>
      <c r="C118" s="80" t="s">
        <v>92</v>
      </c>
      <c r="D118" s="87" t="s">
        <v>95</v>
      </c>
      <c r="E118" s="69">
        <f>13290</f>
        <v>13290</v>
      </c>
      <c r="F118" s="43"/>
      <c r="G118" s="51">
        <f>SUM(E118*5%)+(F118*5%)+0.5</f>
        <v>665</v>
      </c>
      <c r="H118" s="101"/>
      <c r="I118" s="133">
        <f t="shared" si="15"/>
        <v>0</v>
      </c>
      <c r="J118" s="12"/>
      <c r="K118" s="57">
        <f t="shared" si="13"/>
        <v>665</v>
      </c>
      <c r="L118" s="47">
        <f t="shared" si="14"/>
        <v>12625</v>
      </c>
      <c r="M118" s="24"/>
      <c r="N118" s="23"/>
    </row>
    <row r="119" spans="1:14" s="32" customFormat="1" ht="23.25" customHeight="1">
      <c r="A119" s="42">
        <v>90</v>
      </c>
      <c r="B119" s="41" t="s">
        <v>389</v>
      </c>
      <c r="C119" s="80" t="s">
        <v>60</v>
      </c>
      <c r="D119" s="63" t="s">
        <v>395</v>
      </c>
      <c r="E119" s="69">
        <f>11510</f>
        <v>11510</v>
      </c>
      <c r="F119" s="43"/>
      <c r="G119" s="75">
        <f>SUM(E119*5%)+(F119*5%)+0.5</f>
        <v>576</v>
      </c>
      <c r="H119" s="59"/>
      <c r="I119" s="133"/>
      <c r="J119" s="46"/>
      <c r="K119" s="57">
        <f t="shared" si="13"/>
        <v>576</v>
      </c>
      <c r="L119" s="47">
        <f t="shared" si="14"/>
        <v>10934</v>
      </c>
      <c r="M119" s="39"/>
      <c r="N119" s="40"/>
    </row>
    <row r="120" spans="1:14" s="191" customFormat="1" ht="23.25" customHeight="1">
      <c r="A120" s="197"/>
      <c r="B120" s="180" t="s">
        <v>252</v>
      </c>
      <c r="C120" s="192" t="s">
        <v>60</v>
      </c>
      <c r="D120" s="181" t="s">
        <v>253</v>
      </c>
      <c r="E120" s="198"/>
      <c r="F120" s="193"/>
      <c r="G120" s="203">
        <f>SUM(E120*5%)+(F120*5%)</f>
        <v>0</v>
      </c>
      <c r="H120" s="185"/>
      <c r="I120" s="194"/>
      <c r="J120" s="187"/>
      <c r="K120" s="195">
        <f t="shared" si="13"/>
        <v>0</v>
      </c>
      <c r="L120" s="196">
        <f t="shared" si="14"/>
        <v>0</v>
      </c>
      <c r="M120" s="189" t="s">
        <v>364</v>
      </c>
      <c r="N120" s="190"/>
    </row>
    <row r="121" spans="1:14" s="32" customFormat="1" ht="23.25" customHeight="1">
      <c r="A121" s="42">
        <v>91</v>
      </c>
      <c r="B121" s="49" t="s">
        <v>333</v>
      </c>
      <c r="C121" s="81" t="s">
        <v>60</v>
      </c>
      <c r="D121" s="64" t="s">
        <v>334</v>
      </c>
      <c r="E121" s="70">
        <f>11700</f>
        <v>11700</v>
      </c>
      <c r="F121" s="152"/>
      <c r="G121" s="75">
        <f>SUM(E121*5%)+F121*5%</f>
        <v>585</v>
      </c>
      <c r="H121" s="59"/>
      <c r="I121" s="151"/>
      <c r="J121" s="46"/>
      <c r="K121" s="77">
        <f t="shared" si="13"/>
        <v>585</v>
      </c>
      <c r="L121" s="77">
        <f t="shared" si="14"/>
        <v>11115</v>
      </c>
      <c r="M121" s="105"/>
      <c r="N121" s="40"/>
    </row>
    <row r="122" spans="1:14" s="32" customFormat="1" ht="23.25" customHeight="1">
      <c r="A122" s="42"/>
      <c r="B122" s="41" t="s">
        <v>322</v>
      </c>
      <c r="C122" s="80" t="s">
        <v>64</v>
      </c>
      <c r="D122" s="63" t="s">
        <v>313</v>
      </c>
      <c r="E122" s="69"/>
      <c r="F122" s="43"/>
      <c r="G122" s="75">
        <f>SUM(E122*5%)+(F122*5%)</f>
        <v>0</v>
      </c>
      <c r="H122" s="59"/>
      <c r="I122" s="133">
        <f>I$6</f>
        <v>0</v>
      </c>
      <c r="J122" s="46"/>
      <c r="K122" s="57">
        <f t="shared" si="13"/>
        <v>0</v>
      </c>
      <c r="L122" s="47">
        <f t="shared" si="14"/>
        <v>0</v>
      </c>
      <c r="M122" s="39"/>
      <c r="N122" s="40"/>
    </row>
    <row r="123" spans="1:14" s="32" customFormat="1" ht="23.25" customHeight="1">
      <c r="A123" s="42">
        <v>92</v>
      </c>
      <c r="B123" s="41" t="s">
        <v>63</v>
      </c>
      <c r="C123" s="80" t="s">
        <v>64</v>
      </c>
      <c r="D123" s="63" t="s">
        <v>65</v>
      </c>
      <c r="E123" s="69">
        <f>13400</f>
        <v>13400</v>
      </c>
      <c r="F123" s="43"/>
      <c r="G123" s="75">
        <f>SUM(E123*5%)+(F123*5%)</f>
        <v>670</v>
      </c>
      <c r="H123" s="179"/>
      <c r="I123" s="133">
        <f>I$6</f>
        <v>0</v>
      </c>
      <c r="J123" s="52">
        <f>J$6</f>
        <v>0</v>
      </c>
      <c r="K123" s="57">
        <f t="shared" si="13"/>
        <v>670</v>
      </c>
      <c r="L123" s="47">
        <f t="shared" si="14"/>
        <v>12730</v>
      </c>
      <c r="M123" s="39" t="s">
        <v>365</v>
      </c>
      <c r="N123" s="40"/>
    </row>
    <row r="124" spans="1:14" s="32" customFormat="1" ht="23.25" customHeight="1">
      <c r="A124" s="42">
        <v>93</v>
      </c>
      <c r="B124" s="49" t="s">
        <v>71</v>
      </c>
      <c r="C124" s="81" t="s">
        <v>70</v>
      </c>
      <c r="D124" s="64" t="s">
        <v>72</v>
      </c>
      <c r="E124" s="69">
        <f>13750</f>
        <v>13750</v>
      </c>
      <c r="F124" s="43"/>
      <c r="G124" s="51">
        <f>SUM(E124*5%)+(F124*5%)+0.5</f>
        <v>688</v>
      </c>
      <c r="H124" s="73"/>
      <c r="I124" s="133">
        <f>I$6</f>
        <v>0</v>
      </c>
      <c r="J124" s="52"/>
      <c r="K124" s="57">
        <f t="shared" si="13"/>
        <v>688</v>
      </c>
      <c r="L124" s="47">
        <f t="shared" si="14"/>
        <v>13062</v>
      </c>
      <c r="M124" s="34"/>
      <c r="N124" s="40"/>
    </row>
    <row r="125" spans="1:14" ht="23.25" customHeight="1">
      <c r="A125" s="35"/>
      <c r="B125" s="49" t="s">
        <v>297</v>
      </c>
      <c r="C125" s="86" t="s">
        <v>70</v>
      </c>
      <c r="D125" s="64" t="s">
        <v>298</v>
      </c>
      <c r="E125" s="70"/>
      <c r="F125" s="10"/>
      <c r="G125" s="75">
        <f>SUM(E125*5%)+F125*5%</f>
        <v>0</v>
      </c>
      <c r="H125" s="16"/>
      <c r="I125" s="133">
        <f>I$6</f>
        <v>0</v>
      </c>
      <c r="J125" s="17"/>
      <c r="K125" s="57">
        <f t="shared" si="13"/>
        <v>0</v>
      </c>
      <c r="L125" s="47">
        <f t="shared" si="14"/>
        <v>0</v>
      </c>
      <c r="M125" s="24"/>
      <c r="N125" s="23"/>
    </row>
    <row r="126" spans="1:14" ht="23.25" customHeight="1" thickBot="1">
      <c r="A126" s="19"/>
      <c r="B126" s="19" t="s">
        <v>4</v>
      </c>
      <c r="C126" s="20"/>
      <c r="D126" s="21"/>
      <c r="E126" s="31">
        <f>SUM(E101,E105:E125)</f>
        <v>1033681.94</v>
      </c>
      <c r="F126" s="31">
        <f t="shared" ref="F126:L126" si="16">SUM(F101,F105:F125)</f>
        <v>0</v>
      </c>
      <c r="G126" s="31">
        <f t="shared" si="16"/>
        <v>51321.997600000002</v>
      </c>
      <c r="H126" s="31">
        <f t="shared" si="16"/>
        <v>0</v>
      </c>
      <c r="I126" s="31">
        <f t="shared" si="16"/>
        <v>0</v>
      </c>
      <c r="J126" s="111">
        <f t="shared" si="16"/>
        <v>0</v>
      </c>
      <c r="K126" s="31">
        <f t="shared" si="16"/>
        <v>51321.997600000002</v>
      </c>
      <c r="L126" s="31">
        <f t="shared" si="16"/>
        <v>982359.94240000006</v>
      </c>
      <c r="M126" s="25"/>
      <c r="N126" s="23"/>
    </row>
    <row r="127" spans="1:14" s="13" customFormat="1" ht="23.25" customHeight="1" thickTop="1">
      <c r="A127" s="448">
        <v>6</v>
      </c>
      <c r="B127" s="448"/>
      <c r="C127" s="448"/>
      <c r="D127" s="448"/>
      <c r="E127" s="448"/>
      <c r="F127" s="448"/>
      <c r="G127" s="448"/>
      <c r="H127" s="448"/>
      <c r="I127" s="448"/>
      <c r="J127" s="448"/>
      <c r="K127" s="448"/>
      <c r="L127" s="448"/>
      <c r="M127" s="15"/>
      <c r="N127" s="26"/>
    </row>
    <row r="128" spans="1:14" ht="23.25" customHeight="1">
      <c r="A128" s="449" t="s">
        <v>1</v>
      </c>
      <c r="B128" s="451" t="s">
        <v>2</v>
      </c>
      <c r="C128" s="449" t="s">
        <v>9</v>
      </c>
      <c r="D128" s="449" t="s">
        <v>10</v>
      </c>
      <c r="E128" s="454" t="s">
        <v>11</v>
      </c>
      <c r="F128" s="93" t="s">
        <v>230</v>
      </c>
      <c r="G128" s="456" t="s">
        <v>14</v>
      </c>
      <c r="H128" s="457"/>
      <c r="I128" s="457"/>
      <c r="J128" s="458"/>
      <c r="K128" s="6" t="s">
        <v>6</v>
      </c>
      <c r="L128" s="6" t="s">
        <v>3</v>
      </c>
    </row>
    <row r="129" spans="1:14" ht="23.25" customHeight="1">
      <c r="A129" s="450"/>
      <c r="B129" s="452"/>
      <c r="C129" s="453"/>
      <c r="D129" s="453"/>
      <c r="E129" s="455"/>
      <c r="F129" s="61"/>
      <c r="G129" s="30" t="s">
        <v>12</v>
      </c>
      <c r="H129" s="116" t="s">
        <v>244</v>
      </c>
      <c r="I129" s="8" t="s">
        <v>7</v>
      </c>
      <c r="J129" s="33" t="s">
        <v>8</v>
      </c>
      <c r="K129" s="7" t="s">
        <v>13</v>
      </c>
      <c r="L129" s="9" t="s">
        <v>184</v>
      </c>
    </row>
    <row r="130" spans="1:14" ht="23.25" customHeight="1">
      <c r="A130" s="42">
        <v>94</v>
      </c>
      <c r="B130" s="49" t="s">
        <v>391</v>
      </c>
      <c r="C130" s="86" t="s">
        <v>70</v>
      </c>
      <c r="D130" s="64" t="s">
        <v>397</v>
      </c>
      <c r="E130" s="70">
        <f>11510</f>
        <v>11510</v>
      </c>
      <c r="F130" s="10"/>
      <c r="G130" s="75">
        <f>SUM(E130*5%)+F130*5%+0.5</f>
        <v>576</v>
      </c>
      <c r="H130" s="16"/>
      <c r="I130" s="140"/>
      <c r="J130" s="18"/>
      <c r="K130" s="57">
        <f t="shared" ref="K130:K150" si="17">SUM(G130:J130)</f>
        <v>576</v>
      </c>
      <c r="L130" s="47">
        <f>SUM(E130+F130-K130)</f>
        <v>10934</v>
      </c>
      <c r="M130" s="13"/>
      <c r="N130" s="23"/>
    </row>
    <row r="131" spans="1:14" ht="23.25" customHeight="1">
      <c r="A131" s="42">
        <v>95</v>
      </c>
      <c r="B131" s="49" t="s">
        <v>392</v>
      </c>
      <c r="C131" s="86" t="s">
        <v>70</v>
      </c>
      <c r="D131" s="64" t="s">
        <v>398</v>
      </c>
      <c r="E131" s="70">
        <f>11510</f>
        <v>11510</v>
      </c>
      <c r="F131" s="10"/>
      <c r="G131" s="75">
        <f>SUM(E131*5%)+F131*5%+0.5</f>
        <v>576</v>
      </c>
      <c r="H131" s="16"/>
      <c r="I131" s="140"/>
      <c r="J131" s="18"/>
      <c r="K131" s="57">
        <f t="shared" si="17"/>
        <v>576</v>
      </c>
      <c r="L131" s="47">
        <f>SUM(E131+F131-K131)</f>
        <v>10934</v>
      </c>
      <c r="M131" s="13"/>
      <c r="N131" s="23"/>
    </row>
    <row r="132" spans="1:14" s="32" customFormat="1" ht="23.25" customHeight="1">
      <c r="A132" s="42">
        <v>96</v>
      </c>
      <c r="B132" s="41" t="s">
        <v>87</v>
      </c>
      <c r="C132" s="80" t="s">
        <v>88</v>
      </c>
      <c r="D132" s="63" t="s">
        <v>89</v>
      </c>
      <c r="E132" s="69">
        <f>13030</f>
        <v>13030</v>
      </c>
      <c r="F132" s="43"/>
      <c r="G132" s="51">
        <f>SUM(E132*5%)+(F132*5%)+0.5</f>
        <v>652</v>
      </c>
      <c r="H132" s="59"/>
      <c r="I132" s="133">
        <f>I$6</f>
        <v>0</v>
      </c>
      <c r="J132" s="46"/>
      <c r="K132" s="57">
        <f t="shared" si="17"/>
        <v>652</v>
      </c>
      <c r="L132" s="47">
        <f t="shared" ref="L132:L150" si="18">SUM(E132+F132-K132)</f>
        <v>12378</v>
      </c>
      <c r="M132" s="39"/>
      <c r="N132" s="40"/>
    </row>
    <row r="133" spans="1:14" ht="23.25" customHeight="1">
      <c r="A133" s="42">
        <v>97</v>
      </c>
      <c r="B133" s="49" t="s">
        <v>383</v>
      </c>
      <c r="C133" s="81" t="s">
        <v>88</v>
      </c>
      <c r="D133" s="64" t="s">
        <v>399</v>
      </c>
      <c r="E133" s="70">
        <f>11510</f>
        <v>11510</v>
      </c>
      <c r="F133" s="10"/>
      <c r="G133" s="22">
        <f>SUM(E133*5%)+(F133*5%)+0.5</f>
        <v>576</v>
      </c>
      <c r="H133" s="16"/>
      <c r="I133" s="140"/>
      <c r="J133" s="18"/>
      <c r="K133" s="57">
        <f t="shared" si="17"/>
        <v>576</v>
      </c>
      <c r="L133" s="47">
        <f t="shared" si="18"/>
        <v>10934</v>
      </c>
      <c r="M133" s="213" t="s">
        <v>377</v>
      </c>
      <c r="N133" s="23"/>
    </row>
    <row r="134" spans="1:14" ht="23.25" customHeight="1">
      <c r="A134" s="42">
        <v>98</v>
      </c>
      <c r="B134" s="49" t="s">
        <v>195</v>
      </c>
      <c r="C134" s="81" t="s">
        <v>88</v>
      </c>
      <c r="D134" s="64" t="s">
        <v>202</v>
      </c>
      <c r="E134" s="70">
        <f>12160</f>
        <v>12160</v>
      </c>
      <c r="F134" s="14"/>
      <c r="G134" s="22">
        <f>SUM(E134*5%)+(F134*5%)</f>
        <v>608</v>
      </c>
      <c r="H134" s="204"/>
      <c r="I134" s="149">
        <f>I$6</f>
        <v>0</v>
      </c>
      <c r="J134" s="12"/>
      <c r="K134" s="57">
        <f t="shared" si="17"/>
        <v>608</v>
      </c>
      <c r="L134" s="47">
        <f t="shared" si="18"/>
        <v>11552</v>
      </c>
      <c r="M134" s="13"/>
      <c r="N134" s="23"/>
    </row>
    <row r="135" spans="1:14" s="32" customFormat="1" ht="23.25" customHeight="1">
      <c r="A135" s="42">
        <v>99</v>
      </c>
      <c r="B135" s="41" t="s">
        <v>320</v>
      </c>
      <c r="C135" s="80" t="s">
        <v>88</v>
      </c>
      <c r="D135" s="63" t="s">
        <v>331</v>
      </c>
      <c r="E135" s="70">
        <f>11700</f>
        <v>11700</v>
      </c>
      <c r="F135" s="37"/>
      <c r="G135" s="44">
        <f>SUM(E135*5%)+(F135*5%)</f>
        <v>585</v>
      </c>
      <c r="H135" s="59"/>
      <c r="I135" s="133">
        <f>I$6</f>
        <v>0</v>
      </c>
      <c r="J135" s="46"/>
      <c r="K135" s="57">
        <f t="shared" si="17"/>
        <v>585</v>
      </c>
      <c r="L135" s="47">
        <f t="shared" si="18"/>
        <v>11115</v>
      </c>
      <c r="M135" s="39"/>
      <c r="N135" s="40"/>
    </row>
    <row r="136" spans="1:14" s="32" customFormat="1" ht="23.25" customHeight="1">
      <c r="A136" s="42">
        <v>100</v>
      </c>
      <c r="B136" s="49" t="s">
        <v>417</v>
      </c>
      <c r="C136" s="81" t="s">
        <v>88</v>
      </c>
      <c r="D136" s="64" t="s">
        <v>420</v>
      </c>
      <c r="E136" s="70">
        <f>11510</f>
        <v>11510</v>
      </c>
      <c r="F136" s="113"/>
      <c r="G136" s="44">
        <f>SUM(E136*5%)+(F136*5%)+0.5</f>
        <v>576</v>
      </c>
      <c r="H136" s="73"/>
      <c r="I136" s="133"/>
      <c r="J136" s="52"/>
      <c r="K136" s="57">
        <f t="shared" si="17"/>
        <v>576</v>
      </c>
      <c r="L136" s="47">
        <f t="shared" si="18"/>
        <v>10934</v>
      </c>
      <c r="M136" s="164"/>
      <c r="N136" s="40"/>
    </row>
    <row r="137" spans="1:14" s="32" customFormat="1" ht="23.25" customHeight="1">
      <c r="A137" s="42">
        <v>101</v>
      </c>
      <c r="B137" s="49" t="s">
        <v>76</v>
      </c>
      <c r="C137" s="81" t="s">
        <v>77</v>
      </c>
      <c r="D137" s="64" t="s">
        <v>236</v>
      </c>
      <c r="E137" s="70">
        <f>13770</f>
        <v>13770</v>
      </c>
      <c r="F137" s="50"/>
      <c r="G137" s="51">
        <f>SUM(E137*5%)+(F137*5%)+0.5</f>
        <v>689</v>
      </c>
      <c r="H137" s="102"/>
      <c r="I137" s="133">
        <f>I$6</f>
        <v>0</v>
      </c>
      <c r="J137" s="52">
        <f>J$6</f>
        <v>0</v>
      </c>
      <c r="K137" s="57">
        <f t="shared" si="17"/>
        <v>689</v>
      </c>
      <c r="L137" s="47">
        <f t="shared" si="18"/>
        <v>13081</v>
      </c>
      <c r="M137" s="34"/>
      <c r="N137" s="40"/>
    </row>
    <row r="138" spans="1:14" s="32" customFormat="1" ht="23.25" customHeight="1">
      <c r="A138" s="42">
        <v>102</v>
      </c>
      <c r="B138" s="41" t="s">
        <v>146</v>
      </c>
      <c r="C138" s="80" t="s">
        <v>147</v>
      </c>
      <c r="D138" s="63" t="s">
        <v>148</v>
      </c>
      <c r="E138" s="69">
        <f>14100</f>
        <v>14100</v>
      </c>
      <c r="F138" s="37"/>
      <c r="G138" s="44">
        <f>SUM(E138*5%)+(F138*5%)</f>
        <v>705</v>
      </c>
      <c r="H138" s="59"/>
      <c r="I138" s="194">
        <f>I$6</f>
        <v>0</v>
      </c>
      <c r="J138" s="46"/>
      <c r="K138" s="57">
        <f t="shared" si="17"/>
        <v>705</v>
      </c>
      <c r="L138" s="47">
        <f t="shared" si="18"/>
        <v>13395</v>
      </c>
      <c r="M138" s="39"/>
      <c r="N138" s="40"/>
    </row>
    <row r="139" spans="1:14" s="32" customFormat="1" ht="23.25" customHeight="1">
      <c r="A139" s="42">
        <v>103</v>
      </c>
      <c r="B139" s="41" t="s">
        <v>384</v>
      </c>
      <c r="C139" s="80" t="s">
        <v>181</v>
      </c>
      <c r="D139" s="63" t="s">
        <v>400</v>
      </c>
      <c r="E139" s="70">
        <f>11510</f>
        <v>11510</v>
      </c>
      <c r="F139" s="37"/>
      <c r="G139" s="44">
        <f>SUM(E139*5%)+(F139*5%)+0.5</f>
        <v>576</v>
      </c>
      <c r="H139" s="59"/>
      <c r="I139" s="133"/>
      <c r="J139" s="46"/>
      <c r="K139" s="57">
        <f t="shared" si="17"/>
        <v>576</v>
      </c>
      <c r="L139" s="47">
        <f t="shared" si="18"/>
        <v>10934</v>
      </c>
      <c r="M139" s="105" t="s">
        <v>385</v>
      </c>
      <c r="N139" s="40"/>
    </row>
    <row r="140" spans="1:14" s="32" customFormat="1" ht="23.25" customHeight="1">
      <c r="A140" s="42">
        <v>104</v>
      </c>
      <c r="B140" s="41" t="s">
        <v>418</v>
      </c>
      <c r="C140" s="80" t="s">
        <v>181</v>
      </c>
      <c r="D140" s="63" t="s">
        <v>421</v>
      </c>
      <c r="E140" s="70">
        <f>11510</f>
        <v>11510</v>
      </c>
      <c r="F140" s="37"/>
      <c r="G140" s="75">
        <f>SUM(E140*5%)+F140*5%+0.5</f>
        <v>576</v>
      </c>
      <c r="H140" s="59"/>
      <c r="I140" s="133"/>
      <c r="J140" s="46"/>
      <c r="K140" s="77">
        <f t="shared" si="17"/>
        <v>576</v>
      </c>
      <c r="L140" s="77">
        <f t="shared" si="18"/>
        <v>10934</v>
      </c>
      <c r="M140" s="39"/>
      <c r="N140" s="40"/>
    </row>
    <row r="141" spans="1:14" s="32" customFormat="1" ht="23.25" customHeight="1">
      <c r="A141" s="42">
        <v>105</v>
      </c>
      <c r="B141" s="41" t="s">
        <v>311</v>
      </c>
      <c r="C141" s="117" t="s">
        <v>181</v>
      </c>
      <c r="D141" s="63" t="s">
        <v>312</v>
      </c>
      <c r="E141" s="69">
        <f>11700</f>
        <v>11700</v>
      </c>
      <c r="F141" s="43"/>
      <c r="G141" s="22">
        <f>SUM(E141*5%)+(F141*5%)</f>
        <v>585</v>
      </c>
      <c r="H141" s="59"/>
      <c r="I141" s="150">
        <f>I$6</f>
        <v>0</v>
      </c>
      <c r="J141" s="46"/>
      <c r="K141" s="57">
        <f t="shared" si="17"/>
        <v>585</v>
      </c>
      <c r="L141" s="47">
        <f t="shared" si="18"/>
        <v>11115</v>
      </c>
      <c r="M141" s="105"/>
      <c r="N141" s="40"/>
    </row>
    <row r="142" spans="1:14" s="32" customFormat="1" ht="23.25" customHeight="1">
      <c r="A142" s="42">
        <v>106</v>
      </c>
      <c r="B142" s="41" t="s">
        <v>255</v>
      </c>
      <c r="C142" s="80" t="s">
        <v>190</v>
      </c>
      <c r="D142" s="63" t="s">
        <v>196</v>
      </c>
      <c r="E142" s="70">
        <f>13280</f>
        <v>13280</v>
      </c>
      <c r="F142" s="37"/>
      <c r="G142" s="44">
        <f>SUM(E142*5%)+(F142*5%)</f>
        <v>664</v>
      </c>
      <c r="H142" s="100"/>
      <c r="I142" s="133">
        <f>I$6</f>
        <v>0</v>
      </c>
      <c r="J142" s="46"/>
      <c r="K142" s="57">
        <f t="shared" si="17"/>
        <v>664</v>
      </c>
      <c r="L142" s="47">
        <f t="shared" si="18"/>
        <v>12616</v>
      </c>
      <c r="M142" s="39"/>
      <c r="N142" s="40"/>
    </row>
    <row r="143" spans="1:14" s="32" customFormat="1" ht="23.25" customHeight="1">
      <c r="A143" s="42">
        <v>107</v>
      </c>
      <c r="B143" s="41" t="s">
        <v>247</v>
      </c>
      <c r="C143" s="117" t="s">
        <v>90</v>
      </c>
      <c r="D143" s="63" t="s">
        <v>248</v>
      </c>
      <c r="E143" s="69">
        <f>11700</f>
        <v>11700</v>
      </c>
      <c r="F143" s="43"/>
      <c r="G143" s="22">
        <f>SUM(E143*5%)+(F143*5%)</f>
        <v>585</v>
      </c>
      <c r="H143" s="206"/>
      <c r="I143" s="133">
        <f>I$6</f>
        <v>0</v>
      </c>
      <c r="J143" s="46"/>
      <c r="K143" s="57">
        <f t="shared" si="17"/>
        <v>585</v>
      </c>
      <c r="L143" s="47">
        <f t="shared" si="18"/>
        <v>11115</v>
      </c>
      <c r="M143" s="105" t="s">
        <v>362</v>
      </c>
      <c r="N143" s="40"/>
    </row>
    <row r="144" spans="1:14" s="32" customFormat="1" ht="23.25" customHeight="1">
      <c r="A144" s="42">
        <v>108</v>
      </c>
      <c r="B144" s="41" t="s">
        <v>324</v>
      </c>
      <c r="C144" s="117" t="s">
        <v>90</v>
      </c>
      <c r="D144" s="63" t="s">
        <v>325</v>
      </c>
      <c r="E144" s="69">
        <f>11700</f>
        <v>11700</v>
      </c>
      <c r="F144" s="43"/>
      <c r="G144" s="75">
        <f>SUM(E144*5%)+F144*5%</f>
        <v>585</v>
      </c>
      <c r="H144" s="59"/>
      <c r="I144" s="133"/>
      <c r="J144" s="46"/>
      <c r="K144" s="57">
        <f t="shared" si="17"/>
        <v>585</v>
      </c>
      <c r="L144" s="47">
        <f t="shared" si="18"/>
        <v>11115</v>
      </c>
      <c r="M144" s="39"/>
      <c r="N144" s="40"/>
    </row>
    <row r="145" spans="1:15" s="191" customFormat="1" ht="23.25" customHeight="1">
      <c r="A145" s="42"/>
      <c r="B145" s="180" t="s">
        <v>226</v>
      </c>
      <c r="C145" s="192" t="s">
        <v>227</v>
      </c>
      <c r="D145" s="181" t="s">
        <v>262</v>
      </c>
      <c r="E145" s="201"/>
      <c r="F145" s="183"/>
      <c r="G145" s="184">
        <f>SUM(E145*5%)+F145*5%</f>
        <v>0</v>
      </c>
      <c r="H145" s="185"/>
      <c r="I145" s="133"/>
      <c r="J145" s="187"/>
      <c r="K145" s="202">
        <f t="shared" si="17"/>
        <v>0</v>
      </c>
      <c r="L145" s="188">
        <f t="shared" si="18"/>
        <v>0</v>
      </c>
      <c r="M145" s="200"/>
      <c r="N145" s="190"/>
    </row>
    <row r="146" spans="1:15" s="32" customFormat="1" ht="23.25" customHeight="1">
      <c r="A146" s="42">
        <v>109</v>
      </c>
      <c r="B146" s="41" t="s">
        <v>219</v>
      </c>
      <c r="C146" s="80" t="s">
        <v>220</v>
      </c>
      <c r="D146" s="63" t="s">
        <v>261</v>
      </c>
      <c r="E146" s="74">
        <f>14100</f>
        <v>14100</v>
      </c>
      <c r="F146" s="43"/>
      <c r="G146" s="22">
        <f>SUM(E146*5%)+(F146*5%)</f>
        <v>705</v>
      </c>
      <c r="H146" s="59"/>
      <c r="I146" s="133">
        <f>I$6</f>
        <v>0</v>
      </c>
      <c r="J146" s="46"/>
      <c r="K146" s="76">
        <f t="shared" si="17"/>
        <v>705</v>
      </c>
      <c r="L146" s="77">
        <f t="shared" si="18"/>
        <v>13395</v>
      </c>
      <c r="M146" s="39"/>
      <c r="N146" s="40"/>
    </row>
    <row r="147" spans="1:15" s="32" customFormat="1" ht="23.25" customHeight="1">
      <c r="A147" s="42">
        <v>110</v>
      </c>
      <c r="B147" s="41" t="s">
        <v>221</v>
      </c>
      <c r="C147" s="80" t="s">
        <v>222</v>
      </c>
      <c r="D147" s="63" t="s">
        <v>258</v>
      </c>
      <c r="E147" s="74">
        <f>13830</f>
        <v>13830</v>
      </c>
      <c r="F147" s="43"/>
      <c r="G147" s="22">
        <f>SUM(E147*5%)+(F147*5%)+0.5</f>
        <v>692</v>
      </c>
      <c r="H147" s="59"/>
      <c r="I147" s="48"/>
      <c r="J147" s="46"/>
      <c r="K147" s="76">
        <f t="shared" si="17"/>
        <v>692</v>
      </c>
      <c r="L147" s="77">
        <f t="shared" si="18"/>
        <v>13138</v>
      </c>
      <c r="M147" s="39"/>
      <c r="N147" s="40"/>
    </row>
    <row r="148" spans="1:15" s="32" customFormat="1" ht="23.25" customHeight="1">
      <c r="A148" s="42">
        <v>111</v>
      </c>
      <c r="B148" s="49" t="s">
        <v>386</v>
      </c>
      <c r="C148" s="81" t="s">
        <v>222</v>
      </c>
      <c r="D148" s="64" t="s">
        <v>401</v>
      </c>
      <c r="E148" s="70">
        <f>11510</f>
        <v>11510</v>
      </c>
      <c r="F148" s="43"/>
      <c r="G148" s="22">
        <f>SUM(E148*5%)+(F148*5%)+0.5</f>
        <v>576</v>
      </c>
      <c r="H148" s="73"/>
      <c r="I148" s="133"/>
      <c r="J148" s="60"/>
      <c r="K148" s="76">
        <f t="shared" si="17"/>
        <v>576</v>
      </c>
      <c r="L148" s="77">
        <f t="shared" si="18"/>
        <v>10934</v>
      </c>
      <c r="M148" s="105" t="s">
        <v>385</v>
      </c>
      <c r="N148" s="40"/>
    </row>
    <row r="149" spans="1:15" s="32" customFormat="1" ht="23.25" customHeight="1">
      <c r="A149" s="42">
        <v>112</v>
      </c>
      <c r="B149" s="49" t="s">
        <v>387</v>
      </c>
      <c r="C149" s="81" t="s">
        <v>222</v>
      </c>
      <c r="D149" s="64" t="s">
        <v>403</v>
      </c>
      <c r="E149" s="70">
        <f>11510</f>
        <v>11510</v>
      </c>
      <c r="F149" s="50"/>
      <c r="G149" s="75">
        <f>SUM(E149*5%)+F149*5%+0.5</f>
        <v>576</v>
      </c>
      <c r="H149" s="73"/>
      <c r="I149" s="133"/>
      <c r="J149" s="52"/>
      <c r="K149" s="76">
        <f t="shared" si="17"/>
        <v>576</v>
      </c>
      <c r="L149" s="77">
        <f t="shared" si="18"/>
        <v>10934</v>
      </c>
      <c r="M149" s="213" t="s">
        <v>385</v>
      </c>
      <c r="N149" s="40"/>
    </row>
    <row r="150" spans="1:15" s="32" customFormat="1" ht="23.25" customHeight="1">
      <c r="A150" s="42">
        <v>113</v>
      </c>
      <c r="B150" s="49" t="s">
        <v>225</v>
      </c>
      <c r="C150" s="81" t="s">
        <v>222</v>
      </c>
      <c r="D150" s="64" t="s">
        <v>256</v>
      </c>
      <c r="E150" s="74">
        <f>13610</f>
        <v>13610</v>
      </c>
      <c r="F150" s="50"/>
      <c r="G150" s="22">
        <f>SUM(E150*5%)+(F150*5%)+0.5</f>
        <v>681</v>
      </c>
      <c r="H150" s="208"/>
      <c r="I150" s="150">
        <f>I$6</f>
        <v>0</v>
      </c>
      <c r="J150" s="52">
        <f>J$6</f>
        <v>0</v>
      </c>
      <c r="K150" s="76">
        <f t="shared" si="17"/>
        <v>681</v>
      </c>
      <c r="L150" s="77">
        <f t="shared" si="18"/>
        <v>12929</v>
      </c>
      <c r="M150" s="34"/>
      <c r="N150" s="40"/>
    </row>
    <row r="151" spans="1:15" ht="23.25" customHeight="1" thickBot="1">
      <c r="A151" s="19"/>
      <c r="B151" s="19" t="s">
        <v>4</v>
      </c>
      <c r="C151" s="20"/>
      <c r="D151" s="21"/>
      <c r="E151" s="31">
        <f t="shared" ref="E151:J151" si="19">SUM(E126,E130:E150)</f>
        <v>1280441.94</v>
      </c>
      <c r="F151" s="31">
        <f t="shared" si="19"/>
        <v>0</v>
      </c>
      <c r="G151" s="31">
        <f t="shared" si="19"/>
        <v>63665.997600000002</v>
      </c>
      <c r="H151" s="31">
        <f t="shared" si="19"/>
        <v>0</v>
      </c>
      <c r="I151" s="31">
        <f t="shared" si="19"/>
        <v>0</v>
      </c>
      <c r="J151" s="111">
        <f t="shared" si="19"/>
        <v>0</v>
      </c>
      <c r="K151" s="31">
        <f>SUM(K126,K130:K150)</f>
        <v>63665.997600000002</v>
      </c>
      <c r="L151" s="31">
        <f>SUM(L126,L130:L150)</f>
        <v>1216775.9424000001</v>
      </c>
      <c r="M151" s="144"/>
      <c r="N151" s="143"/>
      <c r="O151" s="143"/>
    </row>
    <row r="152" spans="1:15" s="13" customFormat="1" ht="23.25" customHeight="1" thickTop="1">
      <c r="A152" s="448">
        <v>7</v>
      </c>
      <c r="B152" s="448"/>
      <c r="C152" s="448"/>
      <c r="D152" s="448"/>
      <c r="E152" s="448"/>
      <c r="F152" s="448"/>
      <c r="G152" s="448"/>
      <c r="H152" s="448"/>
      <c r="I152" s="448"/>
      <c r="J152" s="448"/>
      <c r="K152" s="448"/>
      <c r="L152" s="448"/>
      <c r="M152" s="15"/>
      <c r="N152" s="26"/>
    </row>
    <row r="153" spans="1:15" ht="21" customHeight="1">
      <c r="A153" s="449" t="s">
        <v>1</v>
      </c>
      <c r="B153" s="451" t="s">
        <v>2</v>
      </c>
      <c r="C153" s="449" t="s">
        <v>9</v>
      </c>
      <c r="D153" s="449" t="s">
        <v>10</v>
      </c>
      <c r="E153" s="454" t="s">
        <v>11</v>
      </c>
      <c r="F153" s="93" t="s">
        <v>230</v>
      </c>
      <c r="G153" s="456" t="s">
        <v>14</v>
      </c>
      <c r="H153" s="457"/>
      <c r="I153" s="457"/>
      <c r="J153" s="458"/>
      <c r="K153" s="6" t="s">
        <v>6</v>
      </c>
      <c r="L153" s="6" t="s">
        <v>3</v>
      </c>
    </row>
    <row r="154" spans="1:15" ht="19.5" customHeight="1">
      <c r="A154" s="450"/>
      <c r="B154" s="452"/>
      <c r="C154" s="453"/>
      <c r="D154" s="453"/>
      <c r="E154" s="455"/>
      <c r="F154" s="61"/>
      <c r="G154" s="30" t="s">
        <v>12</v>
      </c>
      <c r="H154" s="116" t="s">
        <v>244</v>
      </c>
      <c r="I154" s="8" t="s">
        <v>7</v>
      </c>
      <c r="J154" s="33" t="s">
        <v>8</v>
      </c>
      <c r="K154" s="7" t="s">
        <v>13</v>
      </c>
      <c r="L154" s="9" t="s">
        <v>184</v>
      </c>
    </row>
    <row r="155" spans="1:15" ht="19.5" customHeight="1">
      <c r="A155" s="35">
        <v>114</v>
      </c>
      <c r="B155" s="49" t="s">
        <v>254</v>
      </c>
      <c r="C155" s="81" t="s">
        <v>218</v>
      </c>
      <c r="D155" s="64" t="s">
        <v>265</v>
      </c>
      <c r="E155" s="74">
        <f>11700</f>
        <v>11700</v>
      </c>
      <c r="F155" s="50"/>
      <c r="G155" s="22">
        <f>SUM(E155*5%)+(F155*5%)</f>
        <v>585</v>
      </c>
      <c r="H155" s="73"/>
      <c r="I155" s="45"/>
      <c r="J155" s="52"/>
      <c r="K155" s="76">
        <f>SUM(G155:J155)</f>
        <v>585</v>
      </c>
      <c r="L155" s="77">
        <f t="shared" ref="L155:L166" si="20">SUM(E155+F155-K155)</f>
        <v>11115</v>
      </c>
    </row>
    <row r="156" spans="1:15" s="32" customFormat="1" ht="23.25" customHeight="1">
      <c r="A156" s="42">
        <v>115</v>
      </c>
      <c r="B156" s="49" t="s">
        <v>286</v>
      </c>
      <c r="C156" s="86" t="s">
        <v>218</v>
      </c>
      <c r="D156" s="64" t="s">
        <v>287</v>
      </c>
      <c r="E156" s="70">
        <f>11700</f>
        <v>11700</v>
      </c>
      <c r="F156" s="43"/>
      <c r="G156" s="75">
        <f>SUM(E156*5%)+F156*5%</f>
        <v>585</v>
      </c>
      <c r="H156" s="59"/>
      <c r="I156" s="135"/>
      <c r="J156" s="46"/>
      <c r="K156" s="77">
        <f t="shared" ref="K156:K166" si="21">SUM(G156:J156)</f>
        <v>585</v>
      </c>
      <c r="L156" s="77">
        <f t="shared" si="20"/>
        <v>11115</v>
      </c>
      <c r="M156" s="39"/>
      <c r="N156" s="40"/>
    </row>
    <row r="157" spans="1:15" s="32" customFormat="1" ht="23.25" customHeight="1">
      <c r="A157" s="165">
        <v>116</v>
      </c>
      <c r="B157" s="49" t="s">
        <v>242</v>
      </c>
      <c r="C157" s="81" t="s">
        <v>243</v>
      </c>
      <c r="D157" s="64" t="s">
        <v>263</v>
      </c>
      <c r="E157" s="112">
        <f>12160</f>
        <v>12160</v>
      </c>
      <c r="F157" s="113"/>
      <c r="G157" s="166">
        <f>SUM(E157*5%)+F157*5%</f>
        <v>608</v>
      </c>
      <c r="H157" s="114"/>
      <c r="I157" s="163">
        <f>I$6</f>
        <v>0</v>
      </c>
      <c r="J157" s="115"/>
      <c r="K157" s="170">
        <f t="shared" si="21"/>
        <v>608</v>
      </c>
      <c r="L157" s="170">
        <f t="shared" si="20"/>
        <v>11552</v>
      </c>
      <c r="M157" s="34"/>
      <c r="N157" s="40"/>
    </row>
    <row r="158" spans="1:15" s="32" customFormat="1" ht="23.25" customHeight="1">
      <c r="A158" s="42">
        <v>117</v>
      </c>
      <c r="B158" s="171" t="s">
        <v>214</v>
      </c>
      <c r="C158" s="80" t="s">
        <v>215</v>
      </c>
      <c r="D158" s="172" t="s">
        <v>259</v>
      </c>
      <c r="E158" s="74">
        <f>14080</f>
        <v>14080</v>
      </c>
      <c r="F158" s="173"/>
      <c r="G158" s="174">
        <f>SUM(E158*5%)+(F158*5%)</f>
        <v>704</v>
      </c>
      <c r="H158" s="175"/>
      <c r="I158" s="176"/>
      <c r="J158" s="177"/>
      <c r="K158" s="178">
        <f t="shared" si="21"/>
        <v>704</v>
      </c>
      <c r="L158" s="76">
        <f t="shared" si="20"/>
        <v>13376</v>
      </c>
      <c r="M158" s="34"/>
    </row>
    <row r="159" spans="1:15" s="32" customFormat="1" ht="23.25" customHeight="1">
      <c r="A159" s="165">
        <v>118</v>
      </c>
      <c r="B159" s="41" t="s">
        <v>224</v>
      </c>
      <c r="C159" s="80" t="s">
        <v>215</v>
      </c>
      <c r="D159" s="63" t="s">
        <v>260</v>
      </c>
      <c r="E159" s="74">
        <f>13790</f>
        <v>13790</v>
      </c>
      <c r="F159" s="43"/>
      <c r="G159" s="75">
        <f>SUM(E159*5%)+F159*5%+0.5</f>
        <v>690</v>
      </c>
      <c r="H159" s="209"/>
      <c r="I159" s="133">
        <f>I$6</f>
        <v>0</v>
      </c>
      <c r="J159" s="52">
        <f>J$6</f>
        <v>0</v>
      </c>
      <c r="K159" s="76">
        <f t="shared" si="21"/>
        <v>690</v>
      </c>
      <c r="L159" s="76">
        <f t="shared" si="20"/>
        <v>13100</v>
      </c>
      <c r="M159" s="34"/>
      <c r="N159" s="40"/>
    </row>
    <row r="160" spans="1:15" s="32" customFormat="1" ht="23.25" customHeight="1">
      <c r="A160" s="42">
        <v>119</v>
      </c>
      <c r="B160" s="41" t="s">
        <v>216</v>
      </c>
      <c r="C160" s="80" t="s">
        <v>217</v>
      </c>
      <c r="D160" s="63" t="s">
        <v>264</v>
      </c>
      <c r="E160" s="74">
        <f>13810</f>
        <v>13810</v>
      </c>
      <c r="F160" s="43"/>
      <c r="G160" s="174">
        <f>SUM(E160*5%)+(F160*5%)+0.5</f>
        <v>691</v>
      </c>
      <c r="H160" s="209"/>
      <c r="I160" s="133">
        <f>I$6</f>
        <v>0</v>
      </c>
      <c r="J160" s="46"/>
      <c r="K160" s="76">
        <f t="shared" si="21"/>
        <v>691</v>
      </c>
      <c r="L160" s="76">
        <f t="shared" si="20"/>
        <v>13119</v>
      </c>
      <c r="M160" s="39"/>
      <c r="N160" s="40"/>
    </row>
    <row r="161" spans="1:14" s="32" customFormat="1" ht="23.25" customHeight="1">
      <c r="A161" s="165">
        <v>120</v>
      </c>
      <c r="B161" s="41" t="s">
        <v>152</v>
      </c>
      <c r="C161" s="80" t="s">
        <v>359</v>
      </c>
      <c r="D161" s="63" t="s">
        <v>153</v>
      </c>
      <c r="E161" s="69">
        <f>13880</f>
        <v>13880</v>
      </c>
      <c r="F161" s="43"/>
      <c r="G161" s="44">
        <f>SUM(E161*5%)+(F161*5%)</f>
        <v>694</v>
      </c>
      <c r="H161" s="94"/>
      <c r="I161" s="133">
        <f>I$6</f>
        <v>0</v>
      </c>
      <c r="J161" s="46"/>
      <c r="K161" s="57">
        <f t="shared" si="21"/>
        <v>694</v>
      </c>
      <c r="L161" s="47">
        <f t="shared" si="20"/>
        <v>13186</v>
      </c>
      <c r="M161" s="39"/>
      <c r="N161" s="40"/>
    </row>
    <row r="162" spans="1:14" ht="23.25" customHeight="1">
      <c r="A162" s="42">
        <v>121</v>
      </c>
      <c r="B162" s="41" t="s">
        <v>294</v>
      </c>
      <c r="C162" s="85" t="s">
        <v>295</v>
      </c>
      <c r="D162" s="63" t="s">
        <v>296</v>
      </c>
      <c r="E162" s="69">
        <f>11700</f>
        <v>11700</v>
      </c>
      <c r="F162" s="168"/>
      <c r="G162" s="75">
        <f>SUM(E162*5%)+F162*5%</f>
        <v>585</v>
      </c>
      <c r="H162" s="11"/>
      <c r="I162" s="139"/>
      <c r="J162" s="12"/>
      <c r="K162" s="57">
        <f t="shared" si="21"/>
        <v>585</v>
      </c>
      <c r="L162" s="47">
        <f t="shared" si="20"/>
        <v>11115</v>
      </c>
      <c r="M162" s="24"/>
      <c r="N162" s="23"/>
    </row>
    <row r="163" spans="1:14" s="32" customFormat="1" ht="23.25" customHeight="1">
      <c r="A163" s="165">
        <v>122</v>
      </c>
      <c r="B163" s="36" t="s">
        <v>137</v>
      </c>
      <c r="C163" s="79" t="s">
        <v>138</v>
      </c>
      <c r="D163" s="62" t="s">
        <v>139</v>
      </c>
      <c r="E163" s="67">
        <f>14080</f>
        <v>14080</v>
      </c>
      <c r="F163" s="37"/>
      <c r="G163" s="217">
        <f>SUM(E163*5%)+(F163*5%)</f>
        <v>704</v>
      </c>
      <c r="H163" s="58"/>
      <c r="I163" s="138"/>
      <c r="J163" s="56"/>
      <c r="K163" s="38">
        <f t="shared" si="21"/>
        <v>704</v>
      </c>
      <c r="L163" s="162">
        <f t="shared" si="20"/>
        <v>13376</v>
      </c>
      <c r="M163" s="39"/>
      <c r="N163" s="40"/>
    </row>
    <row r="164" spans="1:14" s="32" customFormat="1" ht="23.25" customHeight="1">
      <c r="A164" s="42">
        <v>123</v>
      </c>
      <c r="B164" s="49" t="s">
        <v>20</v>
      </c>
      <c r="C164" s="81" t="s">
        <v>21</v>
      </c>
      <c r="D164" s="64" t="s">
        <v>22</v>
      </c>
      <c r="E164" s="74">
        <f>13400</f>
        <v>13400</v>
      </c>
      <c r="F164" s="37"/>
      <c r="G164" s="75">
        <f>SUM(E164*5%)+(F164*5%)</f>
        <v>670</v>
      </c>
      <c r="H164" s="73"/>
      <c r="I164" s="133">
        <f>I$6</f>
        <v>0</v>
      </c>
      <c r="J164" s="52"/>
      <c r="K164" s="76">
        <f t="shared" si="21"/>
        <v>670</v>
      </c>
      <c r="L164" s="77">
        <f t="shared" si="20"/>
        <v>12730</v>
      </c>
      <c r="M164" s="34"/>
      <c r="N164" s="40"/>
    </row>
    <row r="165" spans="1:14" s="32" customFormat="1" ht="23.25" customHeight="1">
      <c r="A165" s="165">
        <v>124</v>
      </c>
      <c r="B165" s="49" t="s">
        <v>73</v>
      </c>
      <c r="C165" s="81" t="s">
        <v>361</v>
      </c>
      <c r="D165" s="64" t="s">
        <v>75</v>
      </c>
      <c r="E165" s="69">
        <f>13400</f>
        <v>13400</v>
      </c>
      <c r="F165" s="43"/>
      <c r="G165" s="51">
        <f>SUM(E165*5%)+(F165*5%)</f>
        <v>670</v>
      </c>
      <c r="H165" s="73"/>
      <c r="I165" s="133">
        <f>I$6</f>
        <v>0</v>
      </c>
      <c r="J165" s="52"/>
      <c r="K165" s="57">
        <f t="shared" si="21"/>
        <v>670</v>
      </c>
      <c r="L165" s="47">
        <f t="shared" si="20"/>
        <v>12730</v>
      </c>
      <c r="M165" s="34"/>
      <c r="N165" s="40"/>
    </row>
    <row r="166" spans="1:14" ht="23.25" customHeight="1">
      <c r="A166" s="42">
        <v>125</v>
      </c>
      <c r="B166" s="49" t="s">
        <v>393</v>
      </c>
      <c r="C166" s="81" t="s">
        <v>191</v>
      </c>
      <c r="D166" s="64" t="s">
        <v>402</v>
      </c>
      <c r="E166" s="70">
        <f>11510</f>
        <v>11510</v>
      </c>
      <c r="F166" s="214"/>
      <c r="G166" s="51">
        <f>SUM(E166*5%)+(F166*5%)+0.5</f>
        <v>576</v>
      </c>
      <c r="H166" s="16"/>
      <c r="I166" s="215"/>
      <c r="J166" s="18"/>
      <c r="K166" s="216">
        <f t="shared" si="21"/>
        <v>576</v>
      </c>
      <c r="L166" s="60">
        <f t="shared" si="20"/>
        <v>10934</v>
      </c>
      <c r="M166" s="24"/>
      <c r="N166" s="23"/>
    </row>
    <row r="167" spans="1:14" ht="23.25" customHeight="1">
      <c r="A167" s="42"/>
      <c r="B167" s="41"/>
      <c r="C167" s="80"/>
      <c r="D167" s="63"/>
      <c r="E167" s="69"/>
      <c r="F167" s="168"/>
      <c r="G167" s="44"/>
      <c r="H167" s="88"/>
      <c r="I167" s="141"/>
      <c r="J167" s="12"/>
      <c r="K167" s="57"/>
      <c r="L167" s="47"/>
      <c r="M167" s="167"/>
      <c r="N167" s="23"/>
    </row>
    <row r="168" spans="1:14" s="32" customFormat="1" ht="23.25" customHeight="1">
      <c r="A168" s="42"/>
      <c r="B168" s="41"/>
      <c r="C168" s="80"/>
      <c r="D168" s="63"/>
      <c r="E168" s="69"/>
      <c r="F168" s="43"/>
      <c r="G168" s="44"/>
      <c r="H168" s="94"/>
      <c r="I168" s="135"/>
      <c r="J168" s="46"/>
      <c r="K168" s="57"/>
      <c r="L168" s="47"/>
      <c r="M168" s="164"/>
      <c r="N168" s="40"/>
    </row>
    <row r="169" spans="1:14" s="32" customFormat="1" ht="23.25" customHeight="1">
      <c r="A169" s="118"/>
      <c r="B169" s="119"/>
      <c r="C169" s="169"/>
      <c r="D169" s="120"/>
      <c r="E169" s="121"/>
      <c r="F169" s="122"/>
      <c r="G169" s="123"/>
      <c r="H169" s="124"/>
      <c r="I169" s="142"/>
      <c r="J169" s="125"/>
      <c r="K169" s="126"/>
      <c r="L169" s="127"/>
      <c r="M169" s="164"/>
      <c r="N169" s="40"/>
    </row>
    <row r="170" spans="1:14" ht="23.25" customHeight="1" thickBot="1">
      <c r="A170" s="19"/>
      <c r="B170" s="19" t="s">
        <v>5</v>
      </c>
      <c r="C170" s="20"/>
      <c r="D170" s="21"/>
      <c r="E170" s="31">
        <f>SUM(E151,E155:E169)</f>
        <v>1435651.94</v>
      </c>
      <c r="F170" s="31">
        <f>SUM(F151,F156:F169)</f>
        <v>0</v>
      </c>
      <c r="G170" s="31">
        <f t="shared" ref="G170:L170" si="22">SUM(G151,G155:G169)</f>
        <v>71427.997600000002</v>
      </c>
      <c r="H170" s="31">
        <f t="shared" si="22"/>
        <v>0</v>
      </c>
      <c r="I170" s="31">
        <f t="shared" si="22"/>
        <v>0</v>
      </c>
      <c r="J170" s="111">
        <f t="shared" si="22"/>
        <v>0</v>
      </c>
      <c r="K170" s="31">
        <f t="shared" si="22"/>
        <v>71427.997600000002</v>
      </c>
      <c r="L170" s="31">
        <f t="shared" si="22"/>
        <v>1364223.9424000001</v>
      </c>
      <c r="M170" s="25"/>
      <c r="N170" s="23"/>
    </row>
    <row r="171" spans="1:14" ht="24" thickTop="1">
      <c r="A171" s="89" t="s">
        <v>207</v>
      </c>
      <c r="C171" s="1" t="str">
        <f>BAHTTEXT(L170)</f>
        <v>หนึ่งล้านสามแสนหกหมื่นสี่พันสองร้อยยี่สิบสามบาทเก้าสิบสี่สตางค์</v>
      </c>
    </row>
    <row r="172" spans="1:14">
      <c r="A172" s="89" t="s">
        <v>208</v>
      </c>
      <c r="I172" s="90" t="str">
        <f>L4</f>
        <v xml:space="preserve">      กันยายน 2555</v>
      </c>
    </row>
    <row r="173" spans="1:14">
      <c r="A173" s="89" t="s">
        <v>210</v>
      </c>
      <c r="C173" s="91">
        <f>L170</f>
        <v>1364223.9424000001</v>
      </c>
      <c r="D173" s="1" t="s">
        <v>211</v>
      </c>
      <c r="E173" s="1" t="str">
        <f>BAHTTEXT(C173)</f>
        <v>หนึ่งล้านสามแสนหกหมื่นสี่พันสองร้อยยี่สิบสามบาทเก้าสิบสี่สตางค์</v>
      </c>
    </row>
    <row r="174" spans="1:14">
      <c r="A174" s="89" t="s">
        <v>423</v>
      </c>
    </row>
    <row r="175" spans="1:14">
      <c r="A175" s="89"/>
      <c r="F175" s="1" t="s">
        <v>212</v>
      </c>
    </row>
    <row r="176" spans="1:14">
      <c r="A176" s="89"/>
      <c r="F176" s="1" t="s">
        <v>213</v>
      </c>
    </row>
    <row r="177" spans="1:10">
      <c r="A177" s="89"/>
    </row>
    <row r="178" spans="1:10">
      <c r="A178" s="89"/>
      <c r="B178" s="95"/>
      <c r="C178" s="95"/>
      <c r="D178" s="95"/>
      <c r="E178" s="96">
        <f>SUM(E179:E181)</f>
        <v>1546943.94</v>
      </c>
      <c r="F178" s="95"/>
      <c r="G178" s="27">
        <f>SUM(G179:G181)</f>
        <v>76443</v>
      </c>
      <c r="H178" s="97">
        <f>SUM(H179:H181)</f>
        <v>421777.5</v>
      </c>
      <c r="I178" s="2">
        <f>SUM(I179:I180)</f>
        <v>31922</v>
      </c>
      <c r="J178" s="1">
        <v>3010</v>
      </c>
    </row>
    <row r="179" spans="1:10">
      <c r="A179" s="89"/>
      <c r="B179" s="95"/>
      <c r="C179" s="95"/>
      <c r="D179" s="95"/>
      <c r="E179" s="96">
        <v>1464927.21</v>
      </c>
      <c r="F179" s="95" t="s">
        <v>310</v>
      </c>
      <c r="G179" s="27">
        <v>72231</v>
      </c>
      <c r="H179" s="97">
        <v>193700</v>
      </c>
      <c r="I179" s="2">
        <v>31922</v>
      </c>
    </row>
    <row r="180" spans="1:10">
      <c r="B180" s="95"/>
      <c r="C180" s="95"/>
      <c r="D180" s="95"/>
      <c r="E180" s="96">
        <v>70136.73</v>
      </c>
      <c r="F180" s="95"/>
      <c r="G180" s="27">
        <v>3618</v>
      </c>
      <c r="H180" s="97">
        <v>228077.5</v>
      </c>
      <c r="J180" s="92"/>
    </row>
    <row r="181" spans="1:10">
      <c r="B181" s="95"/>
      <c r="C181" s="95"/>
      <c r="D181" s="95"/>
      <c r="E181" s="96">
        <v>11880</v>
      </c>
      <c r="F181" s="95"/>
      <c r="G181" s="27">
        <v>594</v>
      </c>
      <c r="I181" s="1" t="s">
        <v>241</v>
      </c>
    </row>
  </sheetData>
  <mergeCells count="48">
    <mergeCell ref="G7:J7"/>
    <mergeCell ref="A7:A8"/>
    <mergeCell ref="B7:B8"/>
    <mergeCell ref="C7:C8"/>
    <mergeCell ref="D7:D8"/>
    <mergeCell ref="E7:E8"/>
    <mergeCell ref="A27:L27"/>
    <mergeCell ref="A28:A29"/>
    <mergeCell ref="B28:B29"/>
    <mergeCell ref="C28:C29"/>
    <mergeCell ref="D28:D29"/>
    <mergeCell ref="E28:E29"/>
    <mergeCell ref="G28:J28"/>
    <mergeCell ref="A52:L52"/>
    <mergeCell ref="A53:A54"/>
    <mergeCell ref="B53:B54"/>
    <mergeCell ref="C53:C54"/>
    <mergeCell ref="D53:D54"/>
    <mergeCell ref="E53:E54"/>
    <mergeCell ref="G53:J53"/>
    <mergeCell ref="A77:L77"/>
    <mergeCell ref="A78:A79"/>
    <mergeCell ref="B78:B79"/>
    <mergeCell ref="C78:C79"/>
    <mergeCell ref="D78:D79"/>
    <mergeCell ref="E78:E79"/>
    <mergeCell ref="G78:J78"/>
    <mergeCell ref="A102:L102"/>
    <mergeCell ref="A103:A104"/>
    <mergeCell ref="B103:B104"/>
    <mergeCell ref="C103:C104"/>
    <mergeCell ref="D103:D104"/>
    <mergeCell ref="E103:E104"/>
    <mergeCell ref="G103:J103"/>
    <mergeCell ref="A127:L127"/>
    <mergeCell ref="A128:A129"/>
    <mergeCell ref="B128:B129"/>
    <mergeCell ref="C128:C129"/>
    <mergeCell ref="D128:D129"/>
    <mergeCell ref="E128:E129"/>
    <mergeCell ref="G128:J128"/>
    <mergeCell ref="A152:L152"/>
    <mergeCell ref="A153:A154"/>
    <mergeCell ref="B153:B154"/>
    <mergeCell ref="C153:C154"/>
    <mergeCell ref="D153:D154"/>
    <mergeCell ref="E153:E154"/>
    <mergeCell ref="G153:J153"/>
  </mergeCells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view="pageBreakPreview" topLeftCell="I1" zoomScaleNormal="100" workbookViewId="0">
      <selection activeCell="H181" sqref="H181"/>
    </sheetView>
  </sheetViews>
  <sheetFormatPr defaultColWidth="11" defaultRowHeight="21"/>
  <cols>
    <col min="1" max="1" width="5.140625" style="246" customWidth="1"/>
    <col min="2" max="2" width="20.85546875" style="227" customWidth="1"/>
    <col min="3" max="3" width="15.28515625" style="227" customWidth="1"/>
    <col min="4" max="4" width="14.28515625" style="227" customWidth="1"/>
    <col min="5" max="5" width="10.85546875" style="228" customWidth="1"/>
    <col min="6" max="6" width="9.5703125" style="227" customWidth="1"/>
    <col min="7" max="7" width="9.5703125" style="244" customWidth="1"/>
    <col min="8" max="8" width="10.42578125" style="245" customWidth="1"/>
    <col min="9" max="9" width="9.7109375" style="227" customWidth="1"/>
    <col min="10" max="10" width="8.5703125" style="227" customWidth="1"/>
    <col min="11" max="11" width="5.140625" style="227" customWidth="1"/>
    <col min="12" max="12" width="12.28515625" style="227" customWidth="1"/>
    <col min="13" max="13" width="14.5703125" style="227" customWidth="1"/>
    <col min="14" max="15" width="11.28515625" style="227" bestFit="1" customWidth="1"/>
    <col min="16" max="16384" width="11" style="227"/>
  </cols>
  <sheetData>
    <row r="1" spans="1:15" ht="23.25" customHeight="1">
      <c r="A1" s="242" t="s">
        <v>185</v>
      </c>
      <c r="E1" s="243" t="s">
        <v>186</v>
      </c>
    </row>
    <row r="2" spans="1:15" s="275" customFormat="1" ht="20.25" customHeight="1">
      <c r="A2" s="414" t="s">
        <v>187</v>
      </c>
      <c r="E2" s="415"/>
      <c r="F2" s="414" t="s">
        <v>183</v>
      </c>
      <c r="G2" s="416"/>
      <c r="H2" s="417"/>
      <c r="I2" s="418"/>
    </row>
    <row r="3" spans="1:15" s="275" customFormat="1" ht="20.25" customHeight="1">
      <c r="A3" s="414" t="s">
        <v>424</v>
      </c>
      <c r="E3" s="415"/>
      <c r="F3" s="414" t="s">
        <v>209</v>
      </c>
      <c r="G3" s="416"/>
      <c r="H3" s="417"/>
      <c r="I3" s="414"/>
      <c r="J3" s="414"/>
      <c r="K3" s="414"/>
      <c r="L3" s="414"/>
      <c r="M3" s="432" t="s">
        <v>602</v>
      </c>
    </row>
    <row r="4" spans="1:15" s="275" customFormat="1" ht="18.75" customHeight="1">
      <c r="A4" s="414" t="s">
        <v>189</v>
      </c>
      <c r="E4" s="415"/>
      <c r="F4" s="275" t="s">
        <v>598</v>
      </c>
      <c r="G4" s="419"/>
      <c r="H4" s="420" t="s">
        <v>0</v>
      </c>
      <c r="L4" s="421"/>
    </row>
    <row r="5" spans="1:15" ht="18" customHeight="1">
      <c r="A5" s="242"/>
      <c r="I5" s="445">
        <v>558</v>
      </c>
      <c r="J5" s="409">
        <v>264</v>
      </c>
      <c r="K5" s="247"/>
    </row>
    <row r="6" spans="1:15" ht="23.25" customHeight="1">
      <c r="A6" s="460" t="s">
        <v>1</v>
      </c>
      <c r="B6" s="462" t="s">
        <v>2</v>
      </c>
      <c r="C6" s="460" t="s">
        <v>9</v>
      </c>
      <c r="D6" s="460" t="s">
        <v>10</v>
      </c>
      <c r="E6" s="465" t="s">
        <v>11</v>
      </c>
      <c r="F6" s="248"/>
      <c r="G6" s="467" t="s">
        <v>14</v>
      </c>
      <c r="H6" s="468"/>
      <c r="I6" s="468"/>
      <c r="J6" s="468"/>
      <c r="K6" s="469"/>
      <c r="L6" s="249" t="s">
        <v>6</v>
      </c>
      <c r="M6" s="249" t="s">
        <v>3</v>
      </c>
    </row>
    <row r="7" spans="1:15" ht="23.25" customHeight="1">
      <c r="A7" s="461"/>
      <c r="B7" s="463"/>
      <c r="C7" s="464"/>
      <c r="D7" s="464"/>
      <c r="E7" s="466"/>
      <c r="F7" s="250" t="s">
        <v>230</v>
      </c>
      <c r="G7" s="251" t="s">
        <v>12</v>
      </c>
      <c r="H7" s="252" t="s">
        <v>244</v>
      </c>
      <c r="I7" s="253" t="s">
        <v>7</v>
      </c>
      <c r="J7" s="253" t="s">
        <v>8</v>
      </c>
      <c r="K7" s="253"/>
      <c r="L7" s="254" t="s">
        <v>13</v>
      </c>
      <c r="M7" s="255" t="s">
        <v>184</v>
      </c>
    </row>
    <row r="8" spans="1:15" ht="23.25" customHeight="1">
      <c r="A8" s="256">
        <v>1</v>
      </c>
      <c r="B8" s="257" t="s">
        <v>250</v>
      </c>
      <c r="C8" s="258" t="s">
        <v>18</v>
      </c>
      <c r="D8" s="268" t="s">
        <v>96</v>
      </c>
      <c r="E8" s="259">
        <v>20100</v>
      </c>
      <c r="F8" s="269"/>
      <c r="G8" s="260">
        <f>SUM(15000*5%)</f>
        <v>750</v>
      </c>
      <c r="H8" s="287">
        <f>1000+13700</f>
        <v>14700</v>
      </c>
      <c r="I8" s="261">
        <f>I$5</f>
        <v>558</v>
      </c>
      <c r="J8" s="262"/>
      <c r="K8" s="263"/>
      <c r="L8" s="264">
        <f>SUM(G8:K8)</f>
        <v>16008</v>
      </c>
      <c r="M8" s="265">
        <f t="shared" ref="M8:M23" si="0">SUM(E8+F8-L8)</f>
        <v>4092</v>
      </c>
      <c r="N8" s="266"/>
      <c r="O8" s="267"/>
    </row>
    <row r="9" spans="1:15" ht="23.25" customHeight="1">
      <c r="A9" s="256">
        <v>2</v>
      </c>
      <c r="B9" s="257" t="s">
        <v>97</v>
      </c>
      <c r="C9" s="258" t="s">
        <v>18</v>
      </c>
      <c r="D9" s="268" t="s">
        <v>98</v>
      </c>
      <c r="E9" s="259">
        <v>20170</v>
      </c>
      <c r="F9" s="269"/>
      <c r="G9" s="260">
        <f>SUM(15000*5%)</f>
        <v>750</v>
      </c>
      <c r="H9" s="289"/>
      <c r="I9" s="261">
        <f>I$5</f>
        <v>558</v>
      </c>
      <c r="J9" s="262"/>
      <c r="K9" s="263"/>
      <c r="L9" s="264">
        <f>SUM(G9:K9)</f>
        <v>1308</v>
      </c>
      <c r="M9" s="265">
        <f t="shared" si="0"/>
        <v>18862</v>
      </c>
      <c r="N9" s="266"/>
      <c r="O9" s="267"/>
    </row>
    <row r="10" spans="1:15" s="275" customFormat="1" ht="23.25" customHeight="1">
      <c r="A10" s="256">
        <v>3</v>
      </c>
      <c r="B10" s="257" t="s">
        <v>140</v>
      </c>
      <c r="C10" s="258" t="s">
        <v>141</v>
      </c>
      <c r="D10" s="268" t="s">
        <v>142</v>
      </c>
      <c r="E10" s="259">
        <v>20110</v>
      </c>
      <c r="F10" s="269"/>
      <c r="G10" s="260">
        <f>SUM(15000*5%)</f>
        <v>750</v>
      </c>
      <c r="H10" s="270">
        <v>11147.75</v>
      </c>
      <c r="I10" s="261">
        <f t="shared" ref="I10:I11" si="1">I$5</f>
        <v>558</v>
      </c>
      <c r="J10" s="271"/>
      <c r="K10" s="272"/>
      <c r="L10" s="264">
        <f t="shared" ref="L10:L23" si="2">SUM(G10:K10)</f>
        <v>12455.75</v>
      </c>
      <c r="M10" s="265">
        <f t="shared" si="0"/>
        <v>7654.25</v>
      </c>
      <c r="N10" s="273"/>
      <c r="O10" s="274"/>
    </row>
    <row r="11" spans="1:15" s="275" customFormat="1" ht="23.25" customHeight="1">
      <c r="A11" s="256">
        <v>4</v>
      </c>
      <c r="B11" s="276" t="s">
        <v>548</v>
      </c>
      <c r="C11" s="277" t="s">
        <v>270</v>
      </c>
      <c r="D11" s="278" t="s">
        <v>552</v>
      </c>
      <c r="E11" s="303">
        <v>18450</v>
      </c>
      <c r="F11" s="269"/>
      <c r="G11" s="260">
        <f t="shared" ref="G11:G23" si="3">SUM(15000*5%)</f>
        <v>750</v>
      </c>
      <c r="H11" s="270">
        <v>800</v>
      </c>
      <c r="I11" s="261">
        <f t="shared" si="1"/>
        <v>558</v>
      </c>
      <c r="J11" s="271"/>
      <c r="K11" s="279"/>
      <c r="L11" s="264">
        <f t="shared" si="2"/>
        <v>2108</v>
      </c>
      <c r="M11" s="280">
        <f t="shared" si="0"/>
        <v>16342</v>
      </c>
      <c r="N11" s="273"/>
      <c r="O11" s="274"/>
    </row>
    <row r="12" spans="1:15" s="308" customFormat="1" ht="23.25" customHeight="1">
      <c r="A12" s="256">
        <v>5</v>
      </c>
      <c r="B12" s="257" t="s">
        <v>567</v>
      </c>
      <c r="C12" s="258" t="s">
        <v>203</v>
      </c>
      <c r="D12" s="268" t="s">
        <v>571</v>
      </c>
      <c r="E12" s="259">
        <v>18000</v>
      </c>
      <c r="F12" s="269"/>
      <c r="G12" s="260">
        <f t="shared" si="3"/>
        <v>750</v>
      </c>
      <c r="H12" s="270"/>
      <c r="I12" s="261"/>
      <c r="J12" s="282"/>
      <c r="K12" s="282"/>
      <c r="L12" s="264">
        <f t="shared" si="2"/>
        <v>750</v>
      </c>
      <c r="M12" s="265">
        <f t="shared" si="0"/>
        <v>17250</v>
      </c>
      <c r="N12" s="434"/>
      <c r="O12" s="307"/>
    </row>
    <row r="13" spans="1:15" s="275" customFormat="1" ht="23.25" customHeight="1">
      <c r="A13" s="256">
        <v>6</v>
      </c>
      <c r="B13" s="257" t="s">
        <v>143</v>
      </c>
      <c r="C13" s="258" t="s">
        <v>144</v>
      </c>
      <c r="D13" s="268" t="s">
        <v>145</v>
      </c>
      <c r="E13" s="259">
        <v>20120</v>
      </c>
      <c r="F13" s="269"/>
      <c r="G13" s="260">
        <f t="shared" si="3"/>
        <v>750</v>
      </c>
      <c r="H13" s="270">
        <v>500</v>
      </c>
      <c r="I13" s="261">
        <f t="shared" ref="I13" si="4">I$5</f>
        <v>558</v>
      </c>
      <c r="J13" s="271"/>
      <c r="K13" s="272"/>
      <c r="L13" s="264">
        <f t="shared" si="2"/>
        <v>1808</v>
      </c>
      <c r="M13" s="265">
        <f t="shared" si="0"/>
        <v>18312</v>
      </c>
      <c r="N13" s="273"/>
      <c r="O13" s="274"/>
    </row>
    <row r="14" spans="1:15" s="247" customFormat="1" ht="23.25" customHeight="1">
      <c r="A14" s="256">
        <v>7</v>
      </c>
      <c r="B14" s="257" t="s">
        <v>585</v>
      </c>
      <c r="C14" s="258" t="s">
        <v>144</v>
      </c>
      <c r="D14" s="268" t="s">
        <v>586</v>
      </c>
      <c r="E14" s="259">
        <v>18000</v>
      </c>
      <c r="F14" s="269"/>
      <c r="G14" s="260">
        <f t="shared" si="3"/>
        <v>750</v>
      </c>
      <c r="H14" s="388"/>
      <c r="I14" s="336"/>
      <c r="J14" s="263"/>
      <c r="K14" s="263"/>
      <c r="L14" s="264">
        <f t="shared" si="2"/>
        <v>750</v>
      </c>
      <c r="M14" s="265">
        <f t="shared" si="0"/>
        <v>17250</v>
      </c>
      <c r="N14" s="429"/>
      <c r="O14" s="426"/>
    </row>
    <row r="15" spans="1:15" ht="23.25" customHeight="1">
      <c r="A15" s="256">
        <v>8</v>
      </c>
      <c r="B15" s="276" t="s">
        <v>170</v>
      </c>
      <c r="C15" s="277" t="s">
        <v>360</v>
      </c>
      <c r="D15" s="278" t="s">
        <v>171</v>
      </c>
      <c r="E15" s="259">
        <v>19940</v>
      </c>
      <c r="F15" s="269"/>
      <c r="G15" s="260">
        <f t="shared" si="3"/>
        <v>750</v>
      </c>
      <c r="H15" s="354">
        <f>4800.75+5000</f>
        <v>9800.75</v>
      </c>
      <c r="I15" s="261">
        <f>I$5</f>
        <v>558</v>
      </c>
      <c r="J15" s="284"/>
      <c r="K15" s="285"/>
      <c r="L15" s="264">
        <f t="shared" si="2"/>
        <v>11108.75</v>
      </c>
      <c r="M15" s="265">
        <f t="shared" si="0"/>
        <v>8831.25</v>
      </c>
      <c r="N15" s="266"/>
      <c r="O15" s="267"/>
    </row>
    <row r="16" spans="1:15" s="275" customFormat="1" ht="23.25" customHeight="1">
      <c r="A16" s="256">
        <v>9</v>
      </c>
      <c r="B16" s="257" t="s">
        <v>149</v>
      </c>
      <c r="C16" s="258" t="s">
        <v>150</v>
      </c>
      <c r="D16" s="268" t="s">
        <v>151</v>
      </c>
      <c r="E16" s="259">
        <v>20100</v>
      </c>
      <c r="F16" s="269"/>
      <c r="G16" s="260">
        <f t="shared" si="3"/>
        <v>750</v>
      </c>
      <c r="H16" s="286">
        <f>4610.25+10000</f>
        <v>14610.25</v>
      </c>
      <c r="I16" s="261">
        <f t="shared" ref="I16:I20" si="5">I$5</f>
        <v>558</v>
      </c>
      <c r="J16" s="271"/>
      <c r="K16" s="272"/>
      <c r="L16" s="264">
        <f t="shared" si="2"/>
        <v>15918.25</v>
      </c>
      <c r="M16" s="265">
        <f t="shared" si="0"/>
        <v>4181.75</v>
      </c>
      <c r="N16" s="273"/>
      <c r="O16" s="274"/>
    </row>
    <row r="17" spans="1:16" s="275" customFormat="1" ht="23.25" customHeight="1">
      <c r="A17" s="256">
        <v>10</v>
      </c>
      <c r="B17" s="257" t="s">
        <v>154</v>
      </c>
      <c r="C17" s="258" t="s">
        <v>337</v>
      </c>
      <c r="D17" s="268" t="s">
        <v>156</v>
      </c>
      <c r="E17" s="259">
        <v>20040</v>
      </c>
      <c r="F17" s="269"/>
      <c r="G17" s="260">
        <f>SUM(15000*5%)</f>
        <v>750</v>
      </c>
      <c r="H17" s="287">
        <f>600+7500</f>
        <v>8100</v>
      </c>
      <c r="I17" s="261">
        <f t="shared" si="5"/>
        <v>558</v>
      </c>
      <c r="J17" s="282">
        <f>J$5</f>
        <v>264</v>
      </c>
      <c r="K17" s="283"/>
      <c r="L17" s="264">
        <f t="shared" si="2"/>
        <v>9672</v>
      </c>
      <c r="M17" s="265">
        <f t="shared" si="0"/>
        <v>10368</v>
      </c>
      <c r="N17" s="273"/>
      <c r="O17" s="274"/>
    </row>
    <row r="18" spans="1:16" s="275" customFormat="1" ht="23.25" customHeight="1">
      <c r="A18" s="256">
        <v>11</v>
      </c>
      <c r="B18" s="257" t="s">
        <v>56</v>
      </c>
      <c r="C18" s="258" t="s">
        <v>425</v>
      </c>
      <c r="D18" s="268" t="s">
        <v>58</v>
      </c>
      <c r="E18" s="259">
        <v>19830</v>
      </c>
      <c r="F18" s="288"/>
      <c r="G18" s="260">
        <f t="shared" si="3"/>
        <v>750</v>
      </c>
      <c r="H18" s="289"/>
      <c r="I18" s="261"/>
      <c r="J18" s="271"/>
      <c r="K18" s="272"/>
      <c r="L18" s="264">
        <f t="shared" si="2"/>
        <v>750</v>
      </c>
      <c r="M18" s="265">
        <f t="shared" si="0"/>
        <v>19080</v>
      </c>
      <c r="N18" s="291"/>
      <c r="O18" s="274"/>
    </row>
    <row r="19" spans="1:16" s="275" customFormat="1" ht="23.25" customHeight="1">
      <c r="A19" s="256">
        <v>12</v>
      </c>
      <c r="B19" s="292" t="s">
        <v>251</v>
      </c>
      <c r="C19" s="293" t="s">
        <v>323</v>
      </c>
      <c r="D19" s="294" t="s">
        <v>27</v>
      </c>
      <c r="E19" s="295">
        <v>19700</v>
      </c>
      <c r="F19" s="269"/>
      <c r="G19" s="260">
        <f t="shared" si="3"/>
        <v>750</v>
      </c>
      <c r="H19" s="296">
        <v>10138</v>
      </c>
      <c r="I19" s="261">
        <f t="shared" si="5"/>
        <v>558</v>
      </c>
      <c r="J19" s="297"/>
      <c r="K19" s="279"/>
      <c r="L19" s="264">
        <f t="shared" si="2"/>
        <v>11446</v>
      </c>
      <c r="M19" s="265">
        <f t="shared" si="0"/>
        <v>8254</v>
      </c>
      <c r="N19" s="273"/>
      <c r="O19" s="274"/>
    </row>
    <row r="20" spans="1:16" ht="23.25" customHeight="1">
      <c r="A20" s="256">
        <v>13</v>
      </c>
      <c r="B20" s="276" t="s">
        <v>340</v>
      </c>
      <c r="C20" s="277" t="s">
        <v>172</v>
      </c>
      <c r="D20" s="278" t="s">
        <v>349</v>
      </c>
      <c r="E20" s="259">
        <v>18910</v>
      </c>
      <c r="F20" s="269"/>
      <c r="G20" s="260">
        <f t="shared" si="3"/>
        <v>750</v>
      </c>
      <c r="H20" s="366">
        <f>8510+3800</f>
        <v>12310</v>
      </c>
      <c r="I20" s="261">
        <f t="shared" si="5"/>
        <v>558</v>
      </c>
      <c r="J20" s="298"/>
      <c r="K20" s="299"/>
      <c r="L20" s="264">
        <f t="shared" si="2"/>
        <v>13618</v>
      </c>
      <c r="M20" s="265">
        <f t="shared" si="0"/>
        <v>5292</v>
      </c>
      <c r="N20" s="300"/>
      <c r="O20" s="301"/>
      <c r="P20" s="302"/>
    </row>
    <row r="21" spans="1:16" ht="23.25" customHeight="1">
      <c r="A21" s="256">
        <v>14</v>
      </c>
      <c r="B21" s="257" t="s">
        <v>351</v>
      </c>
      <c r="C21" s="258" t="s">
        <v>352</v>
      </c>
      <c r="D21" s="268" t="s">
        <v>353</v>
      </c>
      <c r="E21" s="303">
        <v>18910</v>
      </c>
      <c r="F21" s="269"/>
      <c r="G21" s="260">
        <f t="shared" si="3"/>
        <v>750</v>
      </c>
      <c r="H21" s="270">
        <v>4845</v>
      </c>
      <c r="I21" s="304"/>
      <c r="J21" s="262"/>
      <c r="K21" s="263"/>
      <c r="L21" s="264">
        <f t="shared" si="2"/>
        <v>5595</v>
      </c>
      <c r="M21" s="265">
        <f t="shared" si="0"/>
        <v>13315</v>
      </c>
      <c r="N21" s="305"/>
      <c r="O21" s="267"/>
    </row>
    <row r="22" spans="1:16" ht="23.25" customHeight="1">
      <c r="A22" s="256">
        <v>15</v>
      </c>
      <c r="B22" s="276" t="s">
        <v>595</v>
      </c>
      <c r="C22" s="277" t="s">
        <v>346</v>
      </c>
      <c r="D22" s="278" t="s">
        <v>596</v>
      </c>
      <c r="E22" s="259">
        <v>18000</v>
      </c>
      <c r="F22" s="436"/>
      <c r="G22" s="260">
        <f t="shared" si="3"/>
        <v>750</v>
      </c>
      <c r="H22" s="332"/>
      <c r="I22" s="261"/>
      <c r="J22" s="284"/>
      <c r="K22" s="285"/>
      <c r="L22" s="264">
        <f t="shared" si="2"/>
        <v>750</v>
      </c>
      <c r="M22" s="265">
        <f t="shared" si="0"/>
        <v>17250</v>
      </c>
      <c r="N22" s="273"/>
      <c r="O22" s="267"/>
    </row>
    <row r="23" spans="1:16" s="308" customFormat="1" ht="23.25" customHeight="1">
      <c r="A23" s="256">
        <v>16</v>
      </c>
      <c r="B23" s="257" t="s">
        <v>448</v>
      </c>
      <c r="C23" s="258" t="s">
        <v>449</v>
      </c>
      <c r="D23" s="268" t="s">
        <v>450</v>
      </c>
      <c r="E23" s="259">
        <v>18760</v>
      </c>
      <c r="F23" s="269"/>
      <c r="G23" s="260">
        <f t="shared" si="3"/>
        <v>750</v>
      </c>
      <c r="H23" s="270">
        <v>1000</v>
      </c>
      <c r="I23" s="261"/>
      <c r="J23" s="271"/>
      <c r="K23" s="272"/>
      <c r="L23" s="264">
        <f t="shared" si="2"/>
        <v>1750</v>
      </c>
      <c r="M23" s="265">
        <f t="shared" si="0"/>
        <v>17010</v>
      </c>
      <c r="N23" s="306"/>
      <c r="O23" s="307"/>
    </row>
    <row r="24" spans="1:16" s="308" customFormat="1" ht="23.25" customHeight="1">
      <c r="A24" s="256">
        <v>17</v>
      </c>
      <c r="B24" s="276" t="s">
        <v>266</v>
      </c>
      <c r="C24" s="277" t="s">
        <v>267</v>
      </c>
      <c r="D24" s="278" t="s">
        <v>268</v>
      </c>
      <c r="E24" s="303">
        <v>19070</v>
      </c>
      <c r="F24" s="269"/>
      <c r="G24" s="260">
        <f>SUM(15000*5%)</f>
        <v>750</v>
      </c>
      <c r="H24" s="270"/>
      <c r="I24" s="290"/>
      <c r="J24" s="271"/>
      <c r="K24" s="279"/>
      <c r="L24" s="280">
        <f>SUM(G24:K24)</f>
        <v>750</v>
      </c>
      <c r="M24" s="280">
        <f t="shared" ref="M24" si="6">SUM(E24+F24-L24)</f>
        <v>18320</v>
      </c>
      <c r="N24" s="306"/>
      <c r="O24" s="307"/>
    </row>
    <row r="25" spans="1:16" s="275" customFormat="1" ht="23.25" customHeight="1" thickBot="1">
      <c r="A25" s="309"/>
      <c r="B25" s="310" t="s">
        <v>4</v>
      </c>
      <c r="C25" s="311"/>
      <c r="D25" s="312"/>
      <c r="E25" s="313">
        <f>SUM(E8:E24)</f>
        <v>328210</v>
      </c>
      <c r="F25" s="442">
        <f>SUM(F8:F24)</f>
        <v>0</v>
      </c>
      <c r="G25" s="314">
        <f>SUM(G8:G24)</f>
        <v>12750</v>
      </c>
      <c r="H25" s="313">
        <f t="shared" ref="H25" si="7">SUM(H8:H23)</f>
        <v>87951.75</v>
      </c>
      <c r="I25" s="314">
        <f>SUM(I8:I24)</f>
        <v>5580</v>
      </c>
      <c r="J25" s="313">
        <f>SUM(J8:J24)</f>
        <v>264</v>
      </c>
      <c r="K25" s="314">
        <f>SUM(K8:K23)</f>
        <v>0</v>
      </c>
      <c r="L25" s="313">
        <f>SUM(L8:L24)</f>
        <v>106545.75</v>
      </c>
      <c r="M25" s="313">
        <f>SUM(M8:M24)</f>
        <v>221664.25</v>
      </c>
      <c r="N25" s="315"/>
      <c r="O25" s="274"/>
    </row>
    <row r="26" spans="1:16" s="318" customFormat="1" ht="24.75" customHeight="1" thickTop="1">
      <c r="A26" s="459">
        <v>2</v>
      </c>
      <c r="B26" s="459"/>
      <c r="C26" s="459"/>
      <c r="D26" s="459"/>
      <c r="E26" s="459"/>
      <c r="F26" s="459"/>
      <c r="G26" s="459"/>
      <c r="H26" s="459"/>
      <c r="I26" s="459"/>
      <c r="J26" s="459"/>
      <c r="K26" s="459"/>
      <c r="L26" s="459"/>
      <c r="M26" s="459"/>
      <c r="N26" s="316"/>
      <c r="O26" s="317"/>
    </row>
    <row r="27" spans="1:16" ht="23.25" customHeight="1">
      <c r="A27" s="460" t="s">
        <v>1</v>
      </c>
      <c r="B27" s="462" t="s">
        <v>2</v>
      </c>
      <c r="C27" s="460" t="s">
        <v>9</v>
      </c>
      <c r="D27" s="460" t="s">
        <v>10</v>
      </c>
      <c r="E27" s="465" t="s">
        <v>11</v>
      </c>
      <c r="F27" s="248"/>
      <c r="G27" s="467" t="s">
        <v>14</v>
      </c>
      <c r="H27" s="468"/>
      <c r="I27" s="468"/>
      <c r="J27" s="468"/>
      <c r="K27" s="469"/>
      <c r="L27" s="249" t="s">
        <v>6</v>
      </c>
      <c r="M27" s="249" t="s">
        <v>3</v>
      </c>
    </row>
    <row r="28" spans="1:16" ht="23.25" customHeight="1">
      <c r="A28" s="461"/>
      <c r="B28" s="463"/>
      <c r="C28" s="464"/>
      <c r="D28" s="464"/>
      <c r="E28" s="466"/>
      <c r="F28" s="250" t="s">
        <v>230</v>
      </c>
      <c r="G28" s="251" t="s">
        <v>12</v>
      </c>
      <c r="H28" s="252" t="s">
        <v>244</v>
      </c>
      <c r="I28" s="253" t="s">
        <v>7</v>
      </c>
      <c r="J28" s="253" t="s">
        <v>8</v>
      </c>
      <c r="K28" s="253"/>
      <c r="L28" s="254" t="s">
        <v>13</v>
      </c>
      <c r="M28" s="255" t="s">
        <v>184</v>
      </c>
    </row>
    <row r="29" spans="1:16" s="275" customFormat="1" ht="23.25" customHeight="1">
      <c r="A29" s="320">
        <v>18</v>
      </c>
      <c r="B29" s="257" t="s">
        <v>23</v>
      </c>
      <c r="C29" s="258" t="s">
        <v>105</v>
      </c>
      <c r="D29" s="268" t="s">
        <v>25</v>
      </c>
      <c r="E29" s="321">
        <v>19830</v>
      </c>
      <c r="F29" s="288"/>
      <c r="G29" s="260">
        <f>SUM(15000*5%)</f>
        <v>750</v>
      </c>
      <c r="H29" s="270">
        <v>600</v>
      </c>
      <c r="I29" s="261">
        <f>I$5</f>
        <v>558</v>
      </c>
      <c r="J29" s="271"/>
      <c r="K29" s="272"/>
      <c r="L29" s="322">
        <f>SUM(G29:K29)</f>
        <v>1908</v>
      </c>
      <c r="M29" s="280">
        <f t="shared" ref="M29:M49" si="8">SUM(E29+F29-L29)</f>
        <v>17922</v>
      </c>
      <c r="N29" s="291"/>
      <c r="O29" s="274"/>
    </row>
    <row r="30" spans="1:16" ht="23.25" customHeight="1">
      <c r="A30" s="256">
        <v>19</v>
      </c>
      <c r="B30" s="276" t="s">
        <v>131</v>
      </c>
      <c r="C30" s="277" t="s">
        <v>432</v>
      </c>
      <c r="D30" s="278" t="s">
        <v>132</v>
      </c>
      <c r="E30" s="303">
        <v>20060</v>
      </c>
      <c r="F30" s="288"/>
      <c r="G30" s="260">
        <f>SUM(15000*5%)</f>
        <v>750</v>
      </c>
      <c r="H30" s="354">
        <f>900+7500</f>
        <v>8400</v>
      </c>
      <c r="I30" s="261">
        <f>I$5</f>
        <v>558</v>
      </c>
      <c r="J30" s="282">
        <f>J$5</f>
        <v>264</v>
      </c>
      <c r="K30" s="283"/>
      <c r="L30" s="322">
        <f t="shared" ref="L30:L49" si="9">SUM(G30:K30)</f>
        <v>9972</v>
      </c>
      <c r="M30" s="265">
        <f t="shared" si="8"/>
        <v>10088</v>
      </c>
      <c r="N30" s="318"/>
      <c r="O30" s="267"/>
    </row>
    <row r="31" spans="1:16" s="275" customFormat="1" ht="23.25" customHeight="1">
      <c r="A31" s="320">
        <v>20</v>
      </c>
      <c r="B31" s="257" t="s">
        <v>436</v>
      </c>
      <c r="C31" s="258" t="s">
        <v>437</v>
      </c>
      <c r="D31" s="268" t="s">
        <v>444</v>
      </c>
      <c r="E31" s="259">
        <v>18720</v>
      </c>
      <c r="F31" s="288"/>
      <c r="G31" s="260">
        <f t="shared" ref="G31:G49" si="10">SUM(15000*5%)</f>
        <v>750</v>
      </c>
      <c r="H31" s="270"/>
      <c r="I31" s="261"/>
      <c r="J31" s="271"/>
      <c r="K31" s="272"/>
      <c r="L31" s="322">
        <f t="shared" si="9"/>
        <v>750</v>
      </c>
      <c r="M31" s="265">
        <f t="shared" si="8"/>
        <v>17970</v>
      </c>
      <c r="N31" s="291"/>
      <c r="O31" s="274"/>
    </row>
    <row r="32" spans="1:16" s="275" customFormat="1" ht="23.25" customHeight="1">
      <c r="A32" s="320">
        <v>21</v>
      </c>
      <c r="B32" s="257" t="s">
        <v>558</v>
      </c>
      <c r="C32" s="258" t="s">
        <v>430</v>
      </c>
      <c r="D32" s="268" t="s">
        <v>559</v>
      </c>
      <c r="E32" s="259">
        <v>18000</v>
      </c>
      <c r="F32" s="435"/>
      <c r="G32" s="260">
        <f t="shared" si="10"/>
        <v>750</v>
      </c>
      <c r="H32" s="270">
        <v>1000</v>
      </c>
      <c r="I32" s="329"/>
      <c r="J32" s="271"/>
      <c r="K32" s="272"/>
      <c r="L32" s="322">
        <f t="shared" si="9"/>
        <v>1750</v>
      </c>
      <c r="M32" s="265">
        <f t="shared" si="8"/>
        <v>16250</v>
      </c>
      <c r="N32" s="291"/>
      <c r="O32" s="274"/>
    </row>
    <row r="33" spans="1:15" s="308" customFormat="1" ht="23.25" customHeight="1">
      <c r="A33" s="320"/>
      <c r="B33" s="257"/>
      <c r="C33" s="258" t="s">
        <v>430</v>
      </c>
      <c r="D33" s="268"/>
      <c r="E33" s="324"/>
      <c r="F33" s="288"/>
      <c r="G33" s="260"/>
      <c r="H33" s="388"/>
      <c r="I33" s="374"/>
      <c r="J33" s="272"/>
      <c r="K33" s="272"/>
      <c r="L33" s="424">
        <f t="shared" si="9"/>
        <v>0</v>
      </c>
      <c r="M33" s="265">
        <f t="shared" si="8"/>
        <v>0</v>
      </c>
      <c r="N33" s="392"/>
      <c r="O33" s="307"/>
    </row>
    <row r="34" spans="1:15" s="275" customFormat="1" ht="23.25" customHeight="1">
      <c r="A34" s="320">
        <v>22</v>
      </c>
      <c r="B34" s="257" t="s">
        <v>388</v>
      </c>
      <c r="C34" s="323" t="s">
        <v>283</v>
      </c>
      <c r="D34" s="268" t="s">
        <v>410</v>
      </c>
      <c r="E34" s="303">
        <v>18720</v>
      </c>
      <c r="F34" s="288"/>
      <c r="G34" s="260">
        <f t="shared" si="10"/>
        <v>750</v>
      </c>
      <c r="H34" s="270"/>
      <c r="I34" s="290"/>
      <c r="J34" s="271"/>
      <c r="K34" s="279"/>
      <c r="L34" s="322">
        <f t="shared" si="9"/>
        <v>750</v>
      </c>
      <c r="M34" s="280">
        <f t="shared" si="8"/>
        <v>17970</v>
      </c>
      <c r="N34" s="273"/>
      <c r="O34" s="274"/>
    </row>
    <row r="35" spans="1:15" s="302" customFormat="1" ht="23.25" customHeight="1">
      <c r="A35" s="320">
        <v>23</v>
      </c>
      <c r="B35" s="276" t="s">
        <v>549</v>
      </c>
      <c r="C35" s="277" t="s">
        <v>173</v>
      </c>
      <c r="D35" s="278" t="s">
        <v>551</v>
      </c>
      <c r="E35" s="259">
        <v>18450</v>
      </c>
      <c r="F35" s="269"/>
      <c r="G35" s="260">
        <f t="shared" si="10"/>
        <v>750</v>
      </c>
      <c r="H35" s="332">
        <v>5800</v>
      </c>
      <c r="I35" s="261"/>
      <c r="J35" s="298"/>
      <c r="K35" s="299"/>
      <c r="L35" s="322">
        <f t="shared" si="9"/>
        <v>6550</v>
      </c>
      <c r="M35" s="265">
        <f t="shared" si="8"/>
        <v>11900</v>
      </c>
      <c r="N35" s="300"/>
      <c r="O35" s="301"/>
    </row>
    <row r="36" spans="1:15" ht="23.25" customHeight="1">
      <c r="A36" s="320">
        <v>24</v>
      </c>
      <c r="B36" s="257" t="s">
        <v>192</v>
      </c>
      <c r="C36" s="258" t="s">
        <v>429</v>
      </c>
      <c r="D36" s="268" t="s">
        <v>199</v>
      </c>
      <c r="E36" s="303">
        <v>19830</v>
      </c>
      <c r="F36" s="269"/>
      <c r="G36" s="260">
        <f t="shared" si="10"/>
        <v>750</v>
      </c>
      <c r="H36" s="287">
        <f>5874.75+6200</f>
        <v>12074.75</v>
      </c>
      <c r="I36" s="261">
        <f>I$5</f>
        <v>558</v>
      </c>
      <c r="J36" s="262"/>
      <c r="K36" s="263"/>
      <c r="L36" s="322">
        <f t="shared" si="9"/>
        <v>13382.75</v>
      </c>
      <c r="M36" s="265">
        <f t="shared" si="8"/>
        <v>6447.25</v>
      </c>
      <c r="N36" s="266"/>
      <c r="O36" s="267"/>
    </row>
    <row r="37" spans="1:15" ht="23.25" customHeight="1">
      <c r="A37" s="320">
        <v>25</v>
      </c>
      <c r="B37" s="257" t="s">
        <v>522</v>
      </c>
      <c r="C37" s="258" t="s">
        <v>175</v>
      </c>
      <c r="D37" s="268" t="s">
        <v>523</v>
      </c>
      <c r="E37" s="259">
        <v>18450</v>
      </c>
      <c r="F37" s="269"/>
      <c r="G37" s="260">
        <f t="shared" si="10"/>
        <v>750</v>
      </c>
      <c r="H37" s="270"/>
      <c r="I37" s="261"/>
      <c r="J37" s="262"/>
      <c r="K37" s="263"/>
      <c r="L37" s="322">
        <f t="shared" si="9"/>
        <v>750</v>
      </c>
      <c r="M37" s="265">
        <f t="shared" si="8"/>
        <v>17700</v>
      </c>
      <c r="N37" s="266"/>
      <c r="O37" s="267"/>
    </row>
    <row r="38" spans="1:15" ht="23.25" customHeight="1">
      <c r="A38" s="320">
        <v>26</v>
      </c>
      <c r="B38" s="257" t="s">
        <v>516</v>
      </c>
      <c r="C38" s="258" t="s">
        <v>517</v>
      </c>
      <c r="D38" s="268" t="s">
        <v>518</v>
      </c>
      <c r="E38" s="259">
        <v>18490</v>
      </c>
      <c r="F38" s="269"/>
      <c r="G38" s="260">
        <f t="shared" si="10"/>
        <v>750</v>
      </c>
      <c r="H38" s="270">
        <v>6186.75</v>
      </c>
      <c r="I38" s="261">
        <f t="shared" ref="I38:I40" si="11">I$5</f>
        <v>558</v>
      </c>
      <c r="J38" s="262"/>
      <c r="K38" s="263"/>
      <c r="L38" s="322">
        <f t="shared" si="9"/>
        <v>7494.75</v>
      </c>
      <c r="M38" s="265">
        <f t="shared" si="8"/>
        <v>10995.25</v>
      </c>
      <c r="N38" s="326"/>
      <c r="O38" s="267"/>
    </row>
    <row r="39" spans="1:15" s="275" customFormat="1" ht="23.25" customHeight="1">
      <c r="A39" s="320">
        <v>27</v>
      </c>
      <c r="B39" s="292" t="s">
        <v>305</v>
      </c>
      <c r="C39" s="327" t="s">
        <v>40</v>
      </c>
      <c r="D39" s="294" t="s">
        <v>308</v>
      </c>
      <c r="E39" s="295">
        <v>19040</v>
      </c>
      <c r="F39" s="269"/>
      <c r="G39" s="260">
        <f t="shared" si="10"/>
        <v>750</v>
      </c>
      <c r="H39" s="328">
        <f>600+7500</f>
        <v>8100</v>
      </c>
      <c r="I39" s="261">
        <f t="shared" si="11"/>
        <v>558</v>
      </c>
      <c r="J39" s="297"/>
      <c r="K39" s="279"/>
      <c r="L39" s="322">
        <f t="shared" si="9"/>
        <v>9408</v>
      </c>
      <c r="M39" s="330">
        <f t="shared" si="8"/>
        <v>9632</v>
      </c>
      <c r="N39" s="273"/>
      <c r="O39" s="274"/>
    </row>
    <row r="40" spans="1:15" s="275" customFormat="1" ht="23.25" customHeight="1">
      <c r="A40" s="320">
        <v>28</v>
      </c>
      <c r="B40" s="257" t="s">
        <v>39</v>
      </c>
      <c r="C40" s="323" t="s">
        <v>40</v>
      </c>
      <c r="D40" s="268" t="s">
        <v>233</v>
      </c>
      <c r="E40" s="259">
        <v>20030</v>
      </c>
      <c r="F40" s="269"/>
      <c r="G40" s="260">
        <f t="shared" si="10"/>
        <v>750</v>
      </c>
      <c r="H40" s="287">
        <f>600+7500</f>
        <v>8100</v>
      </c>
      <c r="I40" s="261">
        <f t="shared" si="11"/>
        <v>558</v>
      </c>
      <c r="J40" s="271">
        <f>J$5</f>
        <v>264</v>
      </c>
      <c r="K40" s="272"/>
      <c r="L40" s="322">
        <f t="shared" si="9"/>
        <v>9672</v>
      </c>
      <c r="M40" s="265">
        <f t="shared" si="8"/>
        <v>10358</v>
      </c>
      <c r="N40" s="291"/>
      <c r="O40" s="274"/>
    </row>
    <row r="41" spans="1:15" s="308" customFormat="1" ht="23.25" customHeight="1">
      <c r="A41" s="320">
        <v>29</v>
      </c>
      <c r="B41" s="276" t="s">
        <v>565</v>
      </c>
      <c r="C41" s="331" t="s">
        <v>51</v>
      </c>
      <c r="D41" s="278" t="s">
        <v>566</v>
      </c>
      <c r="E41" s="295">
        <v>18000</v>
      </c>
      <c r="F41" s="269"/>
      <c r="G41" s="260">
        <f t="shared" si="10"/>
        <v>750</v>
      </c>
      <c r="H41" s="447">
        <f>800+2500</f>
        <v>3300</v>
      </c>
      <c r="I41" s="261">
        <f>I$5</f>
        <v>558</v>
      </c>
      <c r="J41" s="282"/>
      <c r="K41" s="271"/>
      <c r="L41" s="322">
        <f t="shared" si="9"/>
        <v>4608</v>
      </c>
      <c r="M41" s="265">
        <f t="shared" si="8"/>
        <v>13392</v>
      </c>
      <c r="N41" s="337"/>
      <c r="O41" s="307"/>
    </row>
    <row r="42" spans="1:15" s="275" customFormat="1" ht="23.25" customHeight="1">
      <c r="A42" s="320">
        <v>30</v>
      </c>
      <c r="B42" s="276" t="s">
        <v>318</v>
      </c>
      <c r="C42" s="277" t="s">
        <v>51</v>
      </c>
      <c r="D42" s="278" t="s">
        <v>330</v>
      </c>
      <c r="E42" s="295">
        <v>18930</v>
      </c>
      <c r="F42" s="269"/>
      <c r="G42" s="260">
        <f t="shared" si="10"/>
        <v>750</v>
      </c>
      <c r="H42" s="332">
        <v>5802.5</v>
      </c>
      <c r="I42" s="261"/>
      <c r="J42" s="282"/>
      <c r="K42" s="333"/>
      <c r="L42" s="322">
        <f t="shared" si="9"/>
        <v>6552.5</v>
      </c>
      <c r="M42" s="265">
        <f t="shared" si="8"/>
        <v>12377.5</v>
      </c>
      <c r="N42" s="291"/>
      <c r="O42" s="274"/>
    </row>
    <row r="43" spans="1:15" s="275" customFormat="1" ht="23.25" customHeight="1">
      <c r="A43" s="320">
        <v>31</v>
      </c>
      <c r="B43" s="257" t="s">
        <v>372</v>
      </c>
      <c r="C43" s="258" t="s">
        <v>51</v>
      </c>
      <c r="D43" s="268" t="s">
        <v>409</v>
      </c>
      <c r="E43" s="334">
        <v>18780</v>
      </c>
      <c r="F43" s="269"/>
      <c r="G43" s="260">
        <f t="shared" si="10"/>
        <v>750</v>
      </c>
      <c r="H43" s="270"/>
      <c r="I43" s="261">
        <f t="shared" ref="I43:I46" si="12">I$5</f>
        <v>558</v>
      </c>
      <c r="J43" s="271"/>
      <c r="K43" s="272"/>
      <c r="L43" s="322">
        <f t="shared" si="9"/>
        <v>1308</v>
      </c>
      <c r="M43" s="265">
        <f t="shared" si="8"/>
        <v>17472</v>
      </c>
      <c r="N43" s="335"/>
      <c r="O43" s="274"/>
    </row>
    <row r="44" spans="1:15" s="275" customFormat="1" ht="23.25" customHeight="1">
      <c r="A44" s="320">
        <v>32</v>
      </c>
      <c r="B44" s="257" t="s">
        <v>568</v>
      </c>
      <c r="C44" s="258" t="s">
        <v>51</v>
      </c>
      <c r="D44" s="268" t="s">
        <v>569</v>
      </c>
      <c r="E44" s="334">
        <v>18000</v>
      </c>
      <c r="F44" s="269"/>
      <c r="G44" s="260">
        <f t="shared" si="10"/>
        <v>750</v>
      </c>
      <c r="H44" s="286"/>
      <c r="I44" s="261"/>
      <c r="J44" s="271"/>
      <c r="K44" s="272"/>
      <c r="L44" s="322">
        <f t="shared" si="9"/>
        <v>750</v>
      </c>
      <c r="M44" s="265">
        <f t="shared" si="8"/>
        <v>17250</v>
      </c>
      <c r="N44" s="305"/>
      <c r="O44" s="274"/>
    </row>
    <row r="45" spans="1:15" s="275" customFormat="1" ht="23.25" customHeight="1">
      <c r="A45" s="320">
        <v>33</v>
      </c>
      <c r="B45" s="257" t="s">
        <v>303</v>
      </c>
      <c r="C45" s="258" t="s">
        <v>228</v>
      </c>
      <c r="D45" s="268" t="s">
        <v>304</v>
      </c>
      <c r="E45" s="259">
        <v>19030</v>
      </c>
      <c r="F45" s="269"/>
      <c r="G45" s="260">
        <f t="shared" si="10"/>
        <v>750</v>
      </c>
      <c r="H45" s="286">
        <f>0+3800</f>
        <v>3800</v>
      </c>
      <c r="I45" s="261">
        <f t="shared" si="12"/>
        <v>558</v>
      </c>
      <c r="J45" s="271"/>
      <c r="K45" s="272"/>
      <c r="L45" s="322">
        <f t="shared" si="9"/>
        <v>5108</v>
      </c>
      <c r="M45" s="265">
        <f t="shared" si="8"/>
        <v>13922</v>
      </c>
      <c r="N45" s="291"/>
      <c r="O45" s="274"/>
    </row>
    <row r="46" spans="1:15" ht="23.25" customHeight="1">
      <c r="A46" s="320">
        <v>34</v>
      </c>
      <c r="B46" s="257" t="s">
        <v>162</v>
      </c>
      <c r="C46" s="258" t="s">
        <v>228</v>
      </c>
      <c r="D46" s="268" t="s">
        <v>163</v>
      </c>
      <c r="E46" s="259">
        <v>20060</v>
      </c>
      <c r="F46" s="269"/>
      <c r="G46" s="260">
        <f t="shared" si="10"/>
        <v>750</v>
      </c>
      <c r="H46" s="287">
        <f>600+4100</f>
        <v>4700</v>
      </c>
      <c r="I46" s="261">
        <f t="shared" si="12"/>
        <v>558</v>
      </c>
      <c r="J46" s="262"/>
      <c r="K46" s="263"/>
      <c r="L46" s="322">
        <f t="shared" si="9"/>
        <v>6008</v>
      </c>
      <c r="M46" s="265">
        <f t="shared" si="8"/>
        <v>14052</v>
      </c>
      <c r="N46" s="266"/>
      <c r="O46" s="267"/>
    </row>
    <row r="47" spans="1:15" ht="23.25" customHeight="1">
      <c r="A47" s="320">
        <v>35</v>
      </c>
      <c r="B47" s="257" t="s">
        <v>374</v>
      </c>
      <c r="C47" s="258" t="s">
        <v>24</v>
      </c>
      <c r="D47" s="268" t="s">
        <v>408</v>
      </c>
      <c r="E47" s="334">
        <v>18790</v>
      </c>
      <c r="F47" s="269"/>
      <c r="G47" s="260">
        <f t="shared" si="10"/>
        <v>750</v>
      </c>
      <c r="H47" s="286">
        <f>6059.5+6200</f>
        <v>12259.5</v>
      </c>
      <c r="I47" s="261">
        <f>I$5</f>
        <v>558</v>
      </c>
      <c r="J47" s="262"/>
      <c r="K47" s="263"/>
      <c r="L47" s="322">
        <f t="shared" si="9"/>
        <v>13567.5</v>
      </c>
      <c r="M47" s="265">
        <f t="shared" si="8"/>
        <v>5222.5</v>
      </c>
      <c r="N47" s="335"/>
      <c r="O47" s="267"/>
    </row>
    <row r="48" spans="1:15" s="308" customFormat="1" ht="23.25" customHeight="1">
      <c r="A48" s="320">
        <v>36</v>
      </c>
      <c r="B48" s="257" t="s">
        <v>593</v>
      </c>
      <c r="C48" s="258" t="s">
        <v>24</v>
      </c>
      <c r="D48" s="268" t="s">
        <v>594</v>
      </c>
      <c r="E48" s="334">
        <v>18000</v>
      </c>
      <c r="F48" s="269"/>
      <c r="G48" s="260">
        <f t="shared" si="10"/>
        <v>750</v>
      </c>
      <c r="H48" s="270"/>
      <c r="I48" s="336"/>
      <c r="J48" s="272"/>
      <c r="K48" s="272"/>
      <c r="L48" s="322">
        <f t="shared" si="9"/>
        <v>750</v>
      </c>
      <c r="M48" s="265">
        <f t="shared" si="8"/>
        <v>17250</v>
      </c>
      <c r="N48" s="337"/>
      <c r="O48" s="307"/>
    </row>
    <row r="49" spans="1:15" s="275" customFormat="1" ht="23.25" customHeight="1">
      <c r="A49" s="256">
        <v>37</v>
      </c>
      <c r="B49" s="338" t="s">
        <v>341</v>
      </c>
      <c r="C49" s="293" t="s">
        <v>24</v>
      </c>
      <c r="D49" s="339" t="s">
        <v>342</v>
      </c>
      <c r="E49" s="340">
        <v>18920</v>
      </c>
      <c r="F49" s="269"/>
      <c r="G49" s="260">
        <f t="shared" si="10"/>
        <v>750</v>
      </c>
      <c r="H49" s="341">
        <f>5081.75+3800</f>
        <v>8881.75</v>
      </c>
      <c r="I49" s="261">
        <f>I$5</f>
        <v>558</v>
      </c>
      <c r="J49" s="271">
        <f>J$5</f>
        <v>264</v>
      </c>
      <c r="K49" s="279"/>
      <c r="L49" s="322">
        <f t="shared" si="9"/>
        <v>10453.75</v>
      </c>
      <c r="M49" s="265">
        <f t="shared" si="8"/>
        <v>8466.25</v>
      </c>
      <c r="N49" s="291"/>
    </row>
    <row r="50" spans="1:15" ht="23.25" customHeight="1" thickBot="1">
      <c r="A50" s="310"/>
      <c r="B50" s="310" t="s">
        <v>4</v>
      </c>
      <c r="C50" s="342"/>
      <c r="D50" s="343"/>
      <c r="E50" s="313">
        <f>SUM(E25,E29:E49)</f>
        <v>706340</v>
      </c>
      <c r="F50" s="443">
        <f>SUM(F25,F29:F49)</f>
        <v>0</v>
      </c>
      <c r="G50" s="411">
        <f>SUM(G25,G29:G49)+0.01</f>
        <v>27750.01</v>
      </c>
      <c r="H50" s="386">
        <f t="shared" ref="H50:K50" si="13">SUM(H25,H29:H49)</f>
        <v>176957</v>
      </c>
      <c r="I50" s="314">
        <f t="shared" si="13"/>
        <v>12276</v>
      </c>
      <c r="J50" s="314">
        <f t="shared" si="13"/>
        <v>1056</v>
      </c>
      <c r="K50" s="314">
        <f t="shared" si="13"/>
        <v>0</v>
      </c>
      <c r="L50" s="313">
        <f>SUM(L25,L29:L49)</f>
        <v>218039</v>
      </c>
      <c r="M50" s="313">
        <f>SUM(M25,M29:M49)</f>
        <v>488301</v>
      </c>
      <c r="N50" s="344"/>
      <c r="O50" s="267"/>
    </row>
    <row r="51" spans="1:15" s="318" customFormat="1" ht="20.25" customHeight="1" thickTop="1">
      <c r="A51" s="459">
        <v>3</v>
      </c>
      <c r="B51" s="459"/>
      <c r="C51" s="459"/>
      <c r="D51" s="459"/>
      <c r="E51" s="459"/>
      <c r="F51" s="459"/>
      <c r="G51" s="459"/>
      <c r="H51" s="459"/>
      <c r="I51" s="459"/>
      <c r="J51" s="459"/>
      <c r="K51" s="459"/>
      <c r="L51" s="459"/>
      <c r="M51" s="459"/>
      <c r="N51" s="316"/>
      <c r="O51" s="317"/>
    </row>
    <row r="52" spans="1:15" ht="23.25" customHeight="1">
      <c r="A52" s="460" t="s">
        <v>1</v>
      </c>
      <c r="B52" s="462" t="s">
        <v>2</v>
      </c>
      <c r="C52" s="460" t="s">
        <v>9</v>
      </c>
      <c r="D52" s="460" t="s">
        <v>10</v>
      </c>
      <c r="E52" s="465" t="s">
        <v>11</v>
      </c>
      <c r="F52" s="248"/>
      <c r="G52" s="467" t="s">
        <v>14</v>
      </c>
      <c r="H52" s="468"/>
      <c r="I52" s="468"/>
      <c r="J52" s="468"/>
      <c r="K52" s="469"/>
      <c r="L52" s="249" t="s">
        <v>6</v>
      </c>
      <c r="M52" s="249" t="s">
        <v>3</v>
      </c>
    </row>
    <row r="53" spans="1:15" ht="23.25" customHeight="1">
      <c r="A53" s="461"/>
      <c r="B53" s="463"/>
      <c r="C53" s="464"/>
      <c r="D53" s="464"/>
      <c r="E53" s="466"/>
      <c r="F53" s="250" t="s">
        <v>230</v>
      </c>
      <c r="G53" s="251" t="s">
        <v>12</v>
      </c>
      <c r="H53" s="252" t="s">
        <v>244</v>
      </c>
      <c r="I53" s="253" t="s">
        <v>7</v>
      </c>
      <c r="J53" s="253" t="s">
        <v>8</v>
      </c>
      <c r="K53" s="253"/>
      <c r="L53" s="254" t="s">
        <v>13</v>
      </c>
      <c r="M53" s="255" t="s">
        <v>184</v>
      </c>
    </row>
    <row r="54" spans="1:15" s="308" customFormat="1" ht="23.25" customHeight="1">
      <c r="A54" s="320">
        <v>38</v>
      </c>
      <c r="B54" s="276" t="s">
        <v>554</v>
      </c>
      <c r="C54" s="277" t="s">
        <v>37</v>
      </c>
      <c r="D54" s="278" t="s">
        <v>557</v>
      </c>
      <c r="E54" s="431">
        <v>18490</v>
      </c>
      <c r="F54" s="444"/>
      <c r="G54" s="319">
        <f>SUM(15000*5%)</f>
        <v>750</v>
      </c>
      <c r="H54" s="332">
        <v>1000</v>
      </c>
      <c r="I54" s="336"/>
      <c r="J54" s="283"/>
      <c r="K54" s="345"/>
      <c r="L54" s="264">
        <f>SUM(G54:K54)</f>
        <v>1750</v>
      </c>
      <c r="M54" s="265">
        <f t="shared" ref="M54:M74" si="14">SUM(E54+F54-L54)</f>
        <v>16740</v>
      </c>
      <c r="N54" s="337"/>
      <c r="O54" s="307"/>
    </row>
    <row r="55" spans="1:15" s="275" customFormat="1" ht="23.25" customHeight="1">
      <c r="A55" s="320">
        <v>39</v>
      </c>
      <c r="B55" s="257" t="s">
        <v>36</v>
      </c>
      <c r="C55" s="323" t="s">
        <v>37</v>
      </c>
      <c r="D55" s="268" t="s">
        <v>38</v>
      </c>
      <c r="E55" s="295">
        <v>19950</v>
      </c>
      <c r="F55" s="269"/>
      <c r="G55" s="319">
        <f>SUM(15000*5%)</f>
        <v>750</v>
      </c>
      <c r="H55" s="270">
        <v>900</v>
      </c>
      <c r="I55" s="336"/>
      <c r="J55" s="265"/>
      <c r="K55" s="346"/>
      <c r="L55" s="347">
        <f>SUM(G55:K55)</f>
        <v>1650</v>
      </c>
      <c r="M55" s="265">
        <f t="shared" si="14"/>
        <v>18300</v>
      </c>
      <c r="N55" s="273"/>
      <c r="O55" s="274"/>
    </row>
    <row r="56" spans="1:15" ht="23.25" customHeight="1">
      <c r="A56" s="256">
        <v>40</v>
      </c>
      <c r="B56" s="292" t="s">
        <v>530</v>
      </c>
      <c r="C56" s="327" t="s">
        <v>37</v>
      </c>
      <c r="D56" s="294" t="s">
        <v>529</v>
      </c>
      <c r="E56" s="348">
        <v>18490</v>
      </c>
      <c r="F56" s="269"/>
      <c r="G56" s="319">
        <f t="shared" ref="G56:G73" si="15">SUM(15000*5%)</f>
        <v>750</v>
      </c>
      <c r="H56" s="296">
        <v>1400</v>
      </c>
      <c r="I56" s="261"/>
      <c r="J56" s="349"/>
      <c r="K56" s="350"/>
      <c r="L56" s="347">
        <f t="shared" ref="L56:L74" si="16">SUM(G56:K56)</f>
        <v>2150</v>
      </c>
      <c r="M56" s="265">
        <f t="shared" si="14"/>
        <v>16340</v>
      </c>
      <c r="N56" s="335"/>
      <c r="O56" s="267"/>
    </row>
    <row r="57" spans="1:15" s="275" customFormat="1" ht="23.25" customHeight="1">
      <c r="A57" s="320">
        <v>41</v>
      </c>
      <c r="B57" s="338" t="s">
        <v>578</v>
      </c>
      <c r="C57" s="293" t="s">
        <v>277</v>
      </c>
      <c r="D57" s="339" t="s">
        <v>579</v>
      </c>
      <c r="E57" s="348">
        <v>18000</v>
      </c>
      <c r="F57" s="269"/>
      <c r="G57" s="319">
        <f t="shared" si="15"/>
        <v>750</v>
      </c>
      <c r="H57" s="270"/>
      <c r="I57" s="261"/>
      <c r="J57" s="271"/>
      <c r="K57" s="279"/>
      <c r="L57" s="347">
        <f t="shared" si="16"/>
        <v>750</v>
      </c>
      <c r="M57" s="280">
        <f t="shared" si="14"/>
        <v>17250</v>
      </c>
      <c r="N57" s="273"/>
      <c r="O57" s="274"/>
    </row>
    <row r="58" spans="1:15" ht="23.25" customHeight="1">
      <c r="A58" s="256">
        <v>42</v>
      </c>
      <c r="B58" s="257" t="s">
        <v>159</v>
      </c>
      <c r="C58" s="258" t="s">
        <v>160</v>
      </c>
      <c r="D58" s="268" t="s">
        <v>161</v>
      </c>
      <c r="E58" s="259">
        <v>19820</v>
      </c>
      <c r="F58" s="269"/>
      <c r="G58" s="319">
        <f t="shared" si="15"/>
        <v>750</v>
      </c>
      <c r="H58" s="287">
        <f>7421.25+7500</f>
        <v>14921.25</v>
      </c>
      <c r="I58" s="261">
        <f>I$5</f>
        <v>558</v>
      </c>
      <c r="J58" s="282">
        <f>J$5</f>
        <v>264</v>
      </c>
      <c r="K58" s="272"/>
      <c r="L58" s="347">
        <f t="shared" si="16"/>
        <v>16493.25</v>
      </c>
      <c r="M58" s="265">
        <f t="shared" si="14"/>
        <v>3326.75</v>
      </c>
      <c r="N58" s="335"/>
      <c r="O58" s="267"/>
    </row>
    <row r="59" spans="1:15" s="275" customFormat="1" ht="23.25" customHeight="1">
      <c r="A59" s="320">
        <v>43</v>
      </c>
      <c r="B59" s="292" t="s">
        <v>375</v>
      </c>
      <c r="C59" s="327" t="s">
        <v>245</v>
      </c>
      <c r="D59" s="294" t="s">
        <v>411</v>
      </c>
      <c r="E59" s="259">
        <v>18740</v>
      </c>
      <c r="F59" s="269"/>
      <c r="G59" s="319">
        <f t="shared" si="15"/>
        <v>750</v>
      </c>
      <c r="H59" s="286">
        <f>2292.25+3800</f>
        <v>6092.25</v>
      </c>
      <c r="I59" s="261">
        <f>I$5</f>
        <v>558</v>
      </c>
      <c r="J59" s="271"/>
      <c r="K59" s="279"/>
      <c r="L59" s="347">
        <f t="shared" si="16"/>
        <v>7400.25</v>
      </c>
      <c r="M59" s="280">
        <f t="shared" si="14"/>
        <v>11339.75</v>
      </c>
      <c r="N59" s="351"/>
      <c r="O59" s="274"/>
    </row>
    <row r="60" spans="1:15" s="275" customFormat="1" ht="23.25" customHeight="1">
      <c r="A60" s="256">
        <v>44</v>
      </c>
      <c r="B60" s="292" t="s">
        <v>376</v>
      </c>
      <c r="C60" s="327" t="s">
        <v>55</v>
      </c>
      <c r="D60" s="294" t="s">
        <v>407</v>
      </c>
      <c r="E60" s="295">
        <v>18730</v>
      </c>
      <c r="F60" s="269"/>
      <c r="G60" s="319">
        <f t="shared" si="15"/>
        <v>750</v>
      </c>
      <c r="H60" s="296">
        <v>6885</v>
      </c>
      <c r="I60" s="261"/>
      <c r="J60" s="297"/>
      <c r="K60" s="279"/>
      <c r="L60" s="347">
        <f t="shared" si="16"/>
        <v>7635</v>
      </c>
      <c r="M60" s="265">
        <f t="shared" si="14"/>
        <v>11095</v>
      </c>
      <c r="N60" s="335"/>
      <c r="O60" s="274"/>
    </row>
    <row r="61" spans="1:15" ht="23.25" customHeight="1">
      <c r="A61" s="320">
        <v>45</v>
      </c>
      <c r="B61" s="276" t="s">
        <v>460</v>
      </c>
      <c r="C61" s="331" t="s">
        <v>55</v>
      </c>
      <c r="D61" s="278" t="s">
        <v>461</v>
      </c>
      <c r="E61" s="303">
        <v>18450</v>
      </c>
      <c r="F61" s="269"/>
      <c r="G61" s="319">
        <f t="shared" si="15"/>
        <v>750</v>
      </c>
      <c r="H61" s="296">
        <v>6417</v>
      </c>
      <c r="I61" s="261"/>
      <c r="J61" s="284"/>
      <c r="K61" s="285"/>
      <c r="L61" s="347">
        <f t="shared" si="16"/>
        <v>7167</v>
      </c>
      <c r="M61" s="265">
        <f t="shared" si="14"/>
        <v>11283</v>
      </c>
      <c r="N61" s="266"/>
      <c r="O61" s="267"/>
    </row>
    <row r="62" spans="1:15" s="275" customFormat="1" ht="23.25" customHeight="1">
      <c r="A62" s="256">
        <v>46</v>
      </c>
      <c r="B62" s="257" t="s">
        <v>112</v>
      </c>
      <c r="C62" s="258" t="s">
        <v>57</v>
      </c>
      <c r="D62" s="268" t="s">
        <v>113</v>
      </c>
      <c r="E62" s="259">
        <v>20220</v>
      </c>
      <c r="F62" s="269"/>
      <c r="G62" s="319">
        <f t="shared" si="15"/>
        <v>750</v>
      </c>
      <c r="H62" s="287">
        <f>2600+1500</f>
        <v>4100</v>
      </c>
      <c r="I62" s="261">
        <f t="shared" ref="I62:I70" si="17">I$5</f>
        <v>558</v>
      </c>
      <c r="J62" s="271"/>
      <c r="K62" s="272"/>
      <c r="L62" s="347">
        <f t="shared" si="16"/>
        <v>5408</v>
      </c>
      <c r="M62" s="265">
        <f t="shared" si="14"/>
        <v>14812</v>
      </c>
      <c r="N62" s="273"/>
      <c r="O62" s="274"/>
    </row>
    <row r="63" spans="1:15" s="308" customFormat="1" ht="23.25" customHeight="1">
      <c r="A63" s="320">
        <v>47</v>
      </c>
      <c r="B63" s="257" t="s">
        <v>580</v>
      </c>
      <c r="C63" s="258" t="s">
        <v>57</v>
      </c>
      <c r="D63" s="268" t="s">
        <v>581</v>
      </c>
      <c r="E63" s="334">
        <v>18000</v>
      </c>
      <c r="F63" s="269"/>
      <c r="G63" s="319">
        <f t="shared" si="15"/>
        <v>750</v>
      </c>
      <c r="H63" s="270">
        <v>800</v>
      </c>
      <c r="I63" s="261">
        <f t="shared" si="17"/>
        <v>558</v>
      </c>
      <c r="J63" s="283"/>
      <c r="K63" s="283"/>
      <c r="L63" s="347">
        <f t="shared" si="16"/>
        <v>2108</v>
      </c>
      <c r="M63" s="265">
        <f t="shared" si="14"/>
        <v>15892</v>
      </c>
      <c r="N63" s="392"/>
      <c r="O63" s="307"/>
    </row>
    <row r="64" spans="1:15" s="275" customFormat="1" ht="23.25" customHeight="1">
      <c r="A64" s="256">
        <v>48</v>
      </c>
      <c r="B64" s="257" t="s">
        <v>455</v>
      </c>
      <c r="C64" s="323" t="s">
        <v>57</v>
      </c>
      <c r="D64" s="268" t="s">
        <v>456</v>
      </c>
      <c r="E64" s="259">
        <v>18490</v>
      </c>
      <c r="F64" s="269"/>
      <c r="G64" s="319">
        <f t="shared" si="15"/>
        <v>750</v>
      </c>
      <c r="H64" s="270">
        <f>800+3800</f>
        <v>4600</v>
      </c>
      <c r="I64" s="261">
        <f t="shared" si="17"/>
        <v>558</v>
      </c>
      <c r="J64" s="271"/>
      <c r="K64" s="272"/>
      <c r="L64" s="347">
        <f t="shared" si="16"/>
        <v>5908</v>
      </c>
      <c r="M64" s="322">
        <f t="shared" si="14"/>
        <v>12582</v>
      </c>
      <c r="N64" s="273"/>
      <c r="O64" s="274"/>
    </row>
    <row r="65" spans="1:16" s="275" customFormat="1" ht="23.25" customHeight="1">
      <c r="A65" s="320">
        <v>49</v>
      </c>
      <c r="B65" s="257" t="s">
        <v>110</v>
      </c>
      <c r="C65" s="258" t="s">
        <v>434</v>
      </c>
      <c r="D65" s="268" t="s">
        <v>111</v>
      </c>
      <c r="E65" s="259">
        <v>20100</v>
      </c>
      <c r="F65" s="269"/>
      <c r="G65" s="319">
        <f>SUM(15000*5%)</f>
        <v>750</v>
      </c>
      <c r="H65" s="287">
        <f>1909.5+10800</f>
        <v>12709.5</v>
      </c>
      <c r="I65" s="261">
        <f t="shared" si="17"/>
        <v>558</v>
      </c>
      <c r="J65" s="271"/>
      <c r="K65" s="272"/>
      <c r="L65" s="347">
        <f t="shared" si="16"/>
        <v>14017.5</v>
      </c>
      <c r="M65" s="265">
        <f t="shared" si="14"/>
        <v>6082.5</v>
      </c>
      <c r="N65" s="273"/>
      <c r="O65" s="274"/>
    </row>
    <row r="66" spans="1:16" s="275" customFormat="1" ht="23.25" customHeight="1">
      <c r="A66" s="256">
        <v>50</v>
      </c>
      <c r="B66" s="276" t="s">
        <v>560</v>
      </c>
      <c r="C66" s="277" t="s">
        <v>561</v>
      </c>
      <c r="D66" s="278" t="s">
        <v>562</v>
      </c>
      <c r="E66" s="295">
        <v>18000</v>
      </c>
      <c r="F66" s="269"/>
      <c r="G66" s="319">
        <f t="shared" si="15"/>
        <v>750</v>
      </c>
      <c r="H66" s="352"/>
      <c r="I66" s="261"/>
      <c r="J66" s="271"/>
      <c r="K66" s="279"/>
      <c r="L66" s="347">
        <f t="shared" si="16"/>
        <v>750</v>
      </c>
      <c r="M66" s="265">
        <f t="shared" si="14"/>
        <v>17250</v>
      </c>
      <c r="N66" s="359"/>
      <c r="O66" s="274"/>
    </row>
    <row r="67" spans="1:16" s="275" customFormat="1" ht="23.25" customHeight="1">
      <c r="A67" s="320">
        <v>51</v>
      </c>
      <c r="B67" s="276" t="s">
        <v>41</v>
      </c>
      <c r="C67" s="331" t="s">
        <v>42</v>
      </c>
      <c r="D67" s="278" t="s">
        <v>43</v>
      </c>
      <c r="E67" s="295">
        <v>19710</v>
      </c>
      <c r="F67" s="269"/>
      <c r="G67" s="319">
        <f t="shared" si="15"/>
        <v>750</v>
      </c>
      <c r="H67" s="352">
        <f>8051.5+7500</f>
        <v>15551.5</v>
      </c>
      <c r="I67" s="261">
        <f t="shared" si="17"/>
        <v>558</v>
      </c>
      <c r="J67" s="282"/>
      <c r="K67" s="333"/>
      <c r="L67" s="347">
        <f t="shared" ref="L67:L71" si="18">SUM(G67:K67)</f>
        <v>16859.5</v>
      </c>
      <c r="M67" s="265">
        <f t="shared" ref="M67:M73" si="19">SUM(E67+F67-L67)</f>
        <v>2850.5</v>
      </c>
      <c r="N67" s="291"/>
      <c r="O67" s="274"/>
    </row>
    <row r="68" spans="1:16" ht="23.25" customHeight="1">
      <c r="A68" s="256">
        <v>52</v>
      </c>
      <c r="B68" s="257" t="s">
        <v>157</v>
      </c>
      <c r="C68" s="258" t="s">
        <v>155</v>
      </c>
      <c r="D68" s="268" t="s">
        <v>158</v>
      </c>
      <c r="E68" s="259">
        <v>20060</v>
      </c>
      <c r="F68" s="269"/>
      <c r="G68" s="319">
        <f t="shared" si="15"/>
        <v>750</v>
      </c>
      <c r="H68" s="270">
        <v>2267.5</v>
      </c>
      <c r="I68" s="261"/>
      <c r="J68" s="282"/>
      <c r="K68" s="283"/>
      <c r="L68" s="347">
        <f t="shared" si="18"/>
        <v>3017.5</v>
      </c>
      <c r="M68" s="265">
        <f t="shared" si="19"/>
        <v>17042.5</v>
      </c>
      <c r="N68" s="266"/>
      <c r="O68" s="267"/>
    </row>
    <row r="69" spans="1:16" s="275" customFormat="1" ht="23.25" customHeight="1">
      <c r="A69" s="320">
        <v>53</v>
      </c>
      <c r="B69" s="257" t="s">
        <v>550</v>
      </c>
      <c r="C69" s="323" t="s">
        <v>280</v>
      </c>
      <c r="D69" s="268" t="s">
        <v>553</v>
      </c>
      <c r="E69" s="259">
        <v>18490</v>
      </c>
      <c r="F69" s="269"/>
      <c r="G69" s="319">
        <f t="shared" si="15"/>
        <v>750</v>
      </c>
      <c r="H69" s="286"/>
      <c r="I69" s="261">
        <f t="shared" si="17"/>
        <v>558</v>
      </c>
      <c r="J69" s="271"/>
      <c r="K69" s="272"/>
      <c r="L69" s="347">
        <f t="shared" si="18"/>
        <v>1308</v>
      </c>
      <c r="M69" s="322">
        <f t="shared" si="19"/>
        <v>17182</v>
      </c>
      <c r="N69" s="273"/>
      <c r="O69" s="274"/>
    </row>
    <row r="70" spans="1:16" s="275" customFormat="1" ht="23.25" customHeight="1">
      <c r="A70" s="256">
        <v>54</v>
      </c>
      <c r="B70" s="276" t="s">
        <v>177</v>
      </c>
      <c r="C70" s="277" t="s">
        <v>178</v>
      </c>
      <c r="D70" s="278" t="s">
        <v>179</v>
      </c>
      <c r="E70" s="303">
        <v>19870</v>
      </c>
      <c r="F70" s="269"/>
      <c r="G70" s="319">
        <f t="shared" si="15"/>
        <v>750</v>
      </c>
      <c r="H70" s="354">
        <f>2569+6200</f>
        <v>8769</v>
      </c>
      <c r="I70" s="261">
        <f t="shared" si="17"/>
        <v>558</v>
      </c>
      <c r="J70" s="282"/>
      <c r="K70" s="283"/>
      <c r="L70" s="347">
        <f t="shared" si="18"/>
        <v>10077</v>
      </c>
      <c r="M70" s="265">
        <f t="shared" si="19"/>
        <v>9793</v>
      </c>
      <c r="N70" s="355"/>
      <c r="O70" s="356"/>
      <c r="P70" s="357"/>
    </row>
    <row r="71" spans="1:16" s="275" customFormat="1" ht="23.25" customHeight="1">
      <c r="A71" s="320">
        <v>55</v>
      </c>
      <c r="B71" s="257" t="s">
        <v>288</v>
      </c>
      <c r="C71" s="323" t="s">
        <v>289</v>
      </c>
      <c r="D71" s="268" t="s">
        <v>290</v>
      </c>
      <c r="E71" s="259">
        <v>19040</v>
      </c>
      <c r="F71" s="269"/>
      <c r="G71" s="319">
        <f t="shared" si="15"/>
        <v>750</v>
      </c>
      <c r="H71" s="270">
        <v>800</v>
      </c>
      <c r="I71" s="261"/>
      <c r="J71" s="271"/>
      <c r="K71" s="272"/>
      <c r="L71" s="347">
        <f t="shared" si="18"/>
        <v>1550</v>
      </c>
      <c r="M71" s="322">
        <f t="shared" si="19"/>
        <v>17490</v>
      </c>
      <c r="N71" s="273"/>
      <c r="O71" s="274"/>
    </row>
    <row r="72" spans="1:16" ht="23.25" customHeight="1">
      <c r="A72" s="256">
        <v>56</v>
      </c>
      <c r="B72" s="257" t="s">
        <v>291</v>
      </c>
      <c r="C72" s="323" t="s">
        <v>292</v>
      </c>
      <c r="D72" s="268" t="s">
        <v>293</v>
      </c>
      <c r="E72" s="259">
        <v>19100</v>
      </c>
      <c r="F72" s="269"/>
      <c r="G72" s="319">
        <f t="shared" si="15"/>
        <v>750</v>
      </c>
      <c r="H72" s="270"/>
      <c r="I72" s="261"/>
      <c r="J72" s="262"/>
      <c r="K72" s="263"/>
      <c r="L72" s="347">
        <f>SUM(G72:K72)</f>
        <v>750</v>
      </c>
      <c r="M72" s="265">
        <f t="shared" si="19"/>
        <v>18350</v>
      </c>
      <c r="N72" s="266"/>
      <c r="O72" s="267"/>
    </row>
    <row r="73" spans="1:16" s="275" customFormat="1" ht="23.25" customHeight="1">
      <c r="A73" s="256">
        <v>57</v>
      </c>
      <c r="B73" s="257" t="s">
        <v>463</v>
      </c>
      <c r="C73" s="258" t="s">
        <v>464</v>
      </c>
      <c r="D73" s="268" t="s">
        <v>465</v>
      </c>
      <c r="E73" s="259">
        <v>18490</v>
      </c>
      <c r="F73" s="269"/>
      <c r="G73" s="319">
        <f t="shared" si="15"/>
        <v>750</v>
      </c>
      <c r="H73" s="289"/>
      <c r="I73" s="261">
        <f>I$5</f>
        <v>558</v>
      </c>
      <c r="J73" s="271"/>
      <c r="K73" s="272"/>
      <c r="L73" s="347">
        <f t="shared" ref="L73" si="20">SUM(G73:K73)</f>
        <v>1308</v>
      </c>
      <c r="M73" s="265">
        <f t="shared" si="19"/>
        <v>17182</v>
      </c>
      <c r="N73" s="359"/>
      <c r="O73" s="274"/>
    </row>
    <row r="74" spans="1:16" s="275" customFormat="1" ht="23.25" customHeight="1">
      <c r="A74" s="256"/>
      <c r="B74" s="257"/>
      <c r="C74" s="258"/>
      <c r="D74" s="268"/>
      <c r="E74" s="259"/>
      <c r="F74" s="269"/>
      <c r="G74" s="319"/>
      <c r="H74" s="289"/>
      <c r="I74" s="261"/>
      <c r="J74" s="271"/>
      <c r="K74" s="272"/>
      <c r="L74" s="347">
        <f t="shared" si="16"/>
        <v>0</v>
      </c>
      <c r="M74" s="265">
        <f t="shared" si="14"/>
        <v>0</v>
      </c>
      <c r="N74" s="359"/>
      <c r="O74" s="274"/>
    </row>
    <row r="75" spans="1:16" ht="23.25" customHeight="1" thickBot="1">
      <c r="A75" s="360"/>
      <c r="B75" s="310" t="s">
        <v>4</v>
      </c>
      <c r="C75" s="342"/>
      <c r="D75" s="312"/>
      <c r="E75" s="440">
        <f t="shared" ref="E75:J75" si="21">SUM(E50,E54:E74)</f>
        <v>1086580</v>
      </c>
      <c r="F75" s="386">
        <f t="shared" si="21"/>
        <v>0</v>
      </c>
      <c r="G75" s="314">
        <f t="shared" si="21"/>
        <v>42750.009999999995</v>
      </c>
      <c r="H75" s="386">
        <f t="shared" si="21"/>
        <v>264170</v>
      </c>
      <c r="I75" s="314">
        <f t="shared" si="21"/>
        <v>17856</v>
      </c>
      <c r="J75" s="314">
        <f t="shared" si="21"/>
        <v>1320</v>
      </c>
      <c r="K75" s="314">
        <f ca="1">SUM(K50,K54:K79)</f>
        <v>0</v>
      </c>
      <c r="L75" s="313">
        <f>SUM(L50,L54:L74)</f>
        <v>326096</v>
      </c>
      <c r="M75" s="313">
        <f>SUM(M50,M54:M74)</f>
        <v>760484</v>
      </c>
      <c r="N75" s="344"/>
      <c r="O75" s="267"/>
    </row>
    <row r="76" spans="1:16" s="318" customFormat="1" ht="18.75" customHeight="1" thickTop="1">
      <c r="A76" s="459">
        <v>4</v>
      </c>
      <c r="B76" s="459"/>
      <c r="C76" s="459"/>
      <c r="D76" s="459"/>
      <c r="E76" s="459"/>
      <c r="F76" s="459"/>
      <c r="G76" s="459"/>
      <c r="H76" s="459"/>
      <c r="I76" s="459"/>
      <c r="J76" s="459"/>
      <c r="K76" s="459"/>
      <c r="L76" s="459"/>
      <c r="M76" s="459"/>
      <c r="N76" s="316"/>
      <c r="O76" s="317"/>
    </row>
    <row r="77" spans="1:16" ht="23.25" customHeight="1">
      <c r="A77" s="460" t="s">
        <v>1</v>
      </c>
      <c r="B77" s="462" t="s">
        <v>2</v>
      </c>
      <c r="C77" s="460" t="s">
        <v>9</v>
      </c>
      <c r="D77" s="460" t="s">
        <v>10</v>
      </c>
      <c r="E77" s="465" t="s">
        <v>11</v>
      </c>
      <c r="F77" s="248"/>
      <c r="G77" s="467" t="s">
        <v>14</v>
      </c>
      <c r="H77" s="468"/>
      <c r="I77" s="468"/>
      <c r="J77" s="468"/>
      <c r="K77" s="469"/>
      <c r="L77" s="249" t="s">
        <v>6</v>
      </c>
      <c r="M77" s="249" t="s">
        <v>3</v>
      </c>
    </row>
    <row r="78" spans="1:16" ht="23.25" customHeight="1">
      <c r="A78" s="461"/>
      <c r="B78" s="463"/>
      <c r="C78" s="464"/>
      <c r="D78" s="464"/>
      <c r="E78" s="466"/>
      <c r="F78" s="250" t="s">
        <v>230</v>
      </c>
      <c r="G78" s="251" t="s">
        <v>12</v>
      </c>
      <c r="H78" s="252" t="s">
        <v>244</v>
      </c>
      <c r="I78" s="253" t="s">
        <v>7</v>
      </c>
      <c r="J78" s="253" t="s">
        <v>8</v>
      </c>
      <c r="K78" s="253"/>
      <c r="L78" s="254" t="s">
        <v>13</v>
      </c>
      <c r="M78" s="255" t="s">
        <v>184</v>
      </c>
    </row>
    <row r="79" spans="1:16" ht="23.25" customHeight="1">
      <c r="A79" s="256">
        <v>58</v>
      </c>
      <c r="B79" s="257" t="s">
        <v>533</v>
      </c>
      <c r="C79" s="258" t="s">
        <v>285</v>
      </c>
      <c r="D79" s="268" t="s">
        <v>587</v>
      </c>
      <c r="E79" s="303">
        <v>18490</v>
      </c>
      <c r="F79" s="269"/>
      <c r="G79" s="319">
        <f>SUM(15000*5%)</f>
        <v>750</v>
      </c>
      <c r="H79" s="270"/>
      <c r="I79" s="290"/>
      <c r="J79" s="271"/>
      <c r="K79" s="345"/>
      <c r="L79" s="347">
        <f>SUM(G79:K79)</f>
        <v>750</v>
      </c>
      <c r="M79" s="280">
        <f>SUM(E79+F79-L79)</f>
        <v>17740</v>
      </c>
    </row>
    <row r="80" spans="1:16" ht="23.25" customHeight="1">
      <c r="A80" s="320">
        <v>59</v>
      </c>
      <c r="B80" s="276" t="s">
        <v>102</v>
      </c>
      <c r="C80" s="277" t="s">
        <v>34</v>
      </c>
      <c r="D80" s="278" t="s">
        <v>103</v>
      </c>
      <c r="E80" s="259">
        <v>20100</v>
      </c>
      <c r="F80" s="269"/>
      <c r="G80" s="319">
        <f>SUM(15000*5%)</f>
        <v>750</v>
      </c>
      <c r="H80" s="354">
        <f>2842+12200</f>
        <v>15042</v>
      </c>
      <c r="I80" s="261">
        <f>I$5</f>
        <v>558</v>
      </c>
      <c r="J80" s="298"/>
      <c r="K80" s="350"/>
      <c r="L80" s="264">
        <f>SUM(G80:K80)</f>
        <v>16350</v>
      </c>
      <c r="M80" s="265">
        <f t="shared" ref="M80:M82" si="22">SUM(E80+F80-L80)</f>
        <v>3750</v>
      </c>
      <c r="N80" s="318"/>
      <c r="O80" s="267"/>
    </row>
    <row r="81" spans="1:15" s="275" customFormat="1" ht="23.25" customHeight="1">
      <c r="A81" s="256">
        <v>60</v>
      </c>
      <c r="B81" s="257" t="s">
        <v>599</v>
      </c>
      <c r="C81" s="323" t="s">
        <v>34</v>
      </c>
      <c r="D81" s="268" t="s">
        <v>600</v>
      </c>
      <c r="E81" s="295">
        <v>18000</v>
      </c>
      <c r="F81" s="436"/>
      <c r="G81" s="319">
        <f>SUM(15000*5%)</f>
        <v>750</v>
      </c>
      <c r="H81" s="270"/>
      <c r="I81" s="261"/>
      <c r="J81" s="271"/>
      <c r="K81" s="272"/>
      <c r="L81" s="347">
        <f>SUM(G81:K81)</f>
        <v>750</v>
      </c>
      <c r="M81" s="265">
        <f t="shared" si="22"/>
        <v>17250</v>
      </c>
      <c r="N81" s="273"/>
      <c r="O81" s="274"/>
    </row>
    <row r="82" spans="1:15" ht="23.25" customHeight="1">
      <c r="A82" s="320">
        <v>61</v>
      </c>
      <c r="B82" s="257" t="s">
        <v>121</v>
      </c>
      <c r="C82" s="258" t="s">
        <v>26</v>
      </c>
      <c r="D82" s="268" t="s">
        <v>122</v>
      </c>
      <c r="E82" s="334">
        <v>19960</v>
      </c>
      <c r="F82" s="269"/>
      <c r="G82" s="319">
        <f>SUM(15000*5%)</f>
        <v>750</v>
      </c>
      <c r="H82" s="412">
        <f>6351.25+7500</f>
        <v>13851.25</v>
      </c>
      <c r="I82" s="261">
        <f t="shared" ref="I82:I90" si="23">I$5</f>
        <v>558</v>
      </c>
      <c r="J82" s="262"/>
      <c r="K82" s="263"/>
      <c r="L82" s="347">
        <f t="shared" ref="L82" si="24">SUM(G82:K82)</f>
        <v>15159.25</v>
      </c>
      <c r="M82" s="265">
        <f t="shared" si="22"/>
        <v>4800.75</v>
      </c>
      <c r="N82" s="266"/>
      <c r="O82" s="267"/>
    </row>
    <row r="83" spans="1:15" s="275" customFormat="1" ht="23.25" customHeight="1">
      <c r="A83" s="256">
        <v>62</v>
      </c>
      <c r="B83" s="257" t="s">
        <v>118</v>
      </c>
      <c r="C83" s="258" t="s">
        <v>31</v>
      </c>
      <c r="D83" s="268" t="s">
        <v>119</v>
      </c>
      <c r="E83" s="334">
        <v>20090</v>
      </c>
      <c r="F83" s="269"/>
      <c r="G83" s="319">
        <f t="shared" ref="G83:G95" si="25">SUM(15000*5%)</f>
        <v>750</v>
      </c>
      <c r="H83" s="270">
        <v>500</v>
      </c>
      <c r="I83" s="261"/>
      <c r="J83" s="271"/>
      <c r="K83" s="272"/>
      <c r="L83" s="347">
        <f t="shared" ref="L83:L90" si="26">SUM(G83:K83)</f>
        <v>1250</v>
      </c>
      <c r="M83" s="265">
        <f t="shared" ref="M83:M90" si="27">SUM(E83+F83-L83)</f>
        <v>18840</v>
      </c>
      <c r="N83" s="273"/>
      <c r="O83" s="274"/>
    </row>
    <row r="84" spans="1:15" s="275" customFormat="1" ht="23.25" customHeight="1">
      <c r="A84" s="320">
        <v>63</v>
      </c>
      <c r="B84" s="257" t="s">
        <v>30</v>
      </c>
      <c r="C84" s="323" t="s">
        <v>31</v>
      </c>
      <c r="D84" s="268" t="s">
        <v>32</v>
      </c>
      <c r="E84" s="295">
        <v>19960</v>
      </c>
      <c r="F84" s="269"/>
      <c r="G84" s="319">
        <f t="shared" si="25"/>
        <v>750</v>
      </c>
      <c r="H84" s="286">
        <f>1000+7500</f>
        <v>8500</v>
      </c>
      <c r="I84" s="261">
        <f t="shared" si="23"/>
        <v>558</v>
      </c>
      <c r="J84" s="271"/>
      <c r="K84" s="272"/>
      <c r="L84" s="347">
        <f t="shared" si="26"/>
        <v>9808</v>
      </c>
      <c r="M84" s="265">
        <f t="shared" si="27"/>
        <v>10152</v>
      </c>
      <c r="N84" s="273"/>
      <c r="O84" s="274"/>
    </row>
    <row r="85" spans="1:15" s="275" customFormat="1" ht="23.25" customHeight="1">
      <c r="A85" s="256">
        <v>64</v>
      </c>
      <c r="B85" s="292" t="s">
        <v>108</v>
      </c>
      <c r="C85" s="327" t="s">
        <v>46</v>
      </c>
      <c r="D85" s="294" t="s">
        <v>109</v>
      </c>
      <c r="E85" s="259">
        <v>20090</v>
      </c>
      <c r="F85" s="269"/>
      <c r="G85" s="319">
        <f t="shared" si="25"/>
        <v>750</v>
      </c>
      <c r="H85" s="296">
        <v>500</v>
      </c>
      <c r="I85" s="261">
        <f t="shared" si="23"/>
        <v>558</v>
      </c>
      <c r="J85" s="297"/>
      <c r="K85" s="272"/>
      <c r="L85" s="347">
        <f t="shared" si="26"/>
        <v>1808</v>
      </c>
      <c r="M85" s="265">
        <f t="shared" si="27"/>
        <v>18282</v>
      </c>
      <c r="N85" s="273"/>
      <c r="O85" s="274"/>
    </row>
    <row r="86" spans="1:15" s="275" customFormat="1" ht="23.25" customHeight="1">
      <c r="A86" s="320">
        <v>65</v>
      </c>
      <c r="B86" s="276" t="s">
        <v>336</v>
      </c>
      <c r="C86" s="331" t="s">
        <v>46</v>
      </c>
      <c r="D86" s="278" t="s">
        <v>47</v>
      </c>
      <c r="E86" s="295">
        <v>19870</v>
      </c>
      <c r="F86" s="269"/>
      <c r="G86" s="319">
        <f t="shared" si="25"/>
        <v>750</v>
      </c>
      <c r="H86" s="332">
        <v>500</v>
      </c>
      <c r="I86" s="261"/>
      <c r="J86" s="282"/>
      <c r="K86" s="272"/>
      <c r="L86" s="347">
        <f t="shared" si="26"/>
        <v>1250</v>
      </c>
      <c r="M86" s="265">
        <f t="shared" si="27"/>
        <v>18620</v>
      </c>
      <c r="N86" s="291"/>
      <c r="O86" s="274"/>
    </row>
    <row r="87" spans="1:15" s="275" customFormat="1" ht="23.25" customHeight="1">
      <c r="A87" s="256">
        <v>66</v>
      </c>
      <c r="B87" s="276" t="s">
        <v>48</v>
      </c>
      <c r="C87" s="331" t="s">
        <v>46</v>
      </c>
      <c r="D87" s="278" t="s">
        <v>49</v>
      </c>
      <c r="E87" s="295">
        <v>19990</v>
      </c>
      <c r="F87" s="269"/>
      <c r="G87" s="319">
        <f t="shared" si="25"/>
        <v>750</v>
      </c>
      <c r="H87" s="352">
        <f>6167+7500</f>
        <v>13667</v>
      </c>
      <c r="I87" s="261">
        <f t="shared" si="23"/>
        <v>558</v>
      </c>
      <c r="J87" s="282"/>
      <c r="K87" s="272"/>
      <c r="L87" s="347">
        <f t="shared" si="26"/>
        <v>14975</v>
      </c>
      <c r="M87" s="265">
        <f t="shared" si="27"/>
        <v>5015</v>
      </c>
      <c r="N87" s="291"/>
      <c r="O87" s="274"/>
    </row>
    <row r="88" spans="1:15" ht="23.25" customHeight="1">
      <c r="A88" s="320">
        <v>67</v>
      </c>
      <c r="B88" s="276" t="s">
        <v>575</v>
      </c>
      <c r="C88" s="277" t="s">
        <v>99</v>
      </c>
      <c r="D88" s="278" t="s">
        <v>576</v>
      </c>
      <c r="E88" s="303">
        <v>18000</v>
      </c>
      <c r="F88" s="269"/>
      <c r="G88" s="319">
        <f t="shared" si="25"/>
        <v>750</v>
      </c>
      <c r="H88" s="332"/>
      <c r="I88" s="261"/>
      <c r="J88" s="284"/>
      <c r="K88" s="263"/>
      <c r="L88" s="347">
        <f t="shared" si="26"/>
        <v>750</v>
      </c>
      <c r="M88" s="265">
        <f t="shared" si="27"/>
        <v>17250</v>
      </c>
      <c r="N88" s="266"/>
      <c r="O88" s="267"/>
    </row>
    <row r="89" spans="1:15" ht="23.25" customHeight="1">
      <c r="A89" s="256">
        <v>68</v>
      </c>
      <c r="B89" s="257" t="s">
        <v>100</v>
      </c>
      <c r="C89" s="258" t="s">
        <v>99</v>
      </c>
      <c r="D89" s="268" t="s">
        <v>101</v>
      </c>
      <c r="E89" s="259">
        <v>20050</v>
      </c>
      <c r="F89" s="269"/>
      <c r="G89" s="319">
        <f t="shared" si="25"/>
        <v>750</v>
      </c>
      <c r="H89" s="287">
        <f>500+7500</f>
        <v>8000</v>
      </c>
      <c r="I89" s="261">
        <f t="shared" si="23"/>
        <v>558</v>
      </c>
      <c r="J89" s="262"/>
      <c r="K89" s="263"/>
      <c r="L89" s="347">
        <f t="shared" si="26"/>
        <v>9308</v>
      </c>
      <c r="M89" s="265">
        <f t="shared" si="27"/>
        <v>10742</v>
      </c>
      <c r="N89" s="318"/>
      <c r="O89" s="267"/>
    </row>
    <row r="90" spans="1:15" s="275" customFormat="1" ht="23.25" customHeight="1">
      <c r="A90" s="320">
        <v>69</v>
      </c>
      <c r="B90" s="257" t="s">
        <v>366</v>
      </c>
      <c r="C90" s="323" t="s">
        <v>28</v>
      </c>
      <c r="D90" s="268" t="s">
        <v>368</v>
      </c>
      <c r="E90" s="295">
        <v>18760</v>
      </c>
      <c r="F90" s="269"/>
      <c r="G90" s="319">
        <f t="shared" si="25"/>
        <v>750</v>
      </c>
      <c r="H90" s="388">
        <f>1050+3800</f>
        <v>4850</v>
      </c>
      <c r="I90" s="261">
        <f t="shared" si="23"/>
        <v>558</v>
      </c>
      <c r="J90" s="271"/>
      <c r="K90" s="272"/>
      <c r="L90" s="347">
        <f t="shared" si="26"/>
        <v>6158</v>
      </c>
      <c r="M90" s="265">
        <f t="shared" si="27"/>
        <v>12602</v>
      </c>
      <c r="N90" s="273"/>
      <c r="O90" s="274"/>
    </row>
    <row r="91" spans="1:15" s="275" customFormat="1" ht="23.25" customHeight="1">
      <c r="A91" s="256">
        <v>70</v>
      </c>
      <c r="B91" s="257" t="s">
        <v>590</v>
      </c>
      <c r="C91" s="323" t="s">
        <v>591</v>
      </c>
      <c r="D91" s="268" t="s">
        <v>592</v>
      </c>
      <c r="E91" s="295">
        <v>18000</v>
      </c>
      <c r="F91" s="269"/>
      <c r="G91" s="319">
        <f>SUM(15000*5%)</f>
        <v>750</v>
      </c>
      <c r="H91" s="286"/>
      <c r="I91" s="261"/>
      <c r="J91" s="271"/>
      <c r="K91" s="272"/>
      <c r="L91" s="347">
        <f t="shared" ref="L91:L98" si="28">SUM(G91:K91)</f>
        <v>750</v>
      </c>
      <c r="M91" s="265">
        <f t="shared" ref="M91:M98" si="29">SUM(E91+F91-L91)</f>
        <v>17250</v>
      </c>
      <c r="N91" s="273"/>
      <c r="O91" s="274"/>
    </row>
    <row r="92" spans="1:15" s="275" customFormat="1" ht="23.25" customHeight="1">
      <c r="A92" s="320">
        <v>71</v>
      </c>
      <c r="B92" s="257" t="s">
        <v>597</v>
      </c>
      <c r="C92" s="363" t="s">
        <v>181</v>
      </c>
      <c r="D92" s="268" t="s">
        <v>312</v>
      </c>
      <c r="E92" s="259">
        <v>19000</v>
      </c>
      <c r="F92" s="269"/>
      <c r="G92" s="319">
        <f t="shared" si="25"/>
        <v>750</v>
      </c>
      <c r="H92" s="270">
        <v>5320.25</v>
      </c>
      <c r="I92" s="261">
        <f t="shared" ref="I92" si="30">I$5</f>
        <v>558</v>
      </c>
      <c r="J92" s="271"/>
      <c r="K92" s="272"/>
      <c r="L92" s="347">
        <f t="shared" si="28"/>
        <v>6628.25</v>
      </c>
      <c r="M92" s="265">
        <f t="shared" si="29"/>
        <v>12371.75</v>
      </c>
      <c r="N92" s="273"/>
      <c r="O92" s="274"/>
    </row>
    <row r="93" spans="1:15" s="275" customFormat="1" ht="23.25" customHeight="1">
      <c r="A93" s="256">
        <v>72</v>
      </c>
      <c r="B93" s="257" t="s">
        <v>418</v>
      </c>
      <c r="C93" s="258" t="s">
        <v>181</v>
      </c>
      <c r="D93" s="268" t="s">
        <v>421</v>
      </c>
      <c r="E93" s="303">
        <v>18840</v>
      </c>
      <c r="F93" s="269"/>
      <c r="G93" s="319">
        <f t="shared" si="25"/>
        <v>750</v>
      </c>
      <c r="H93" s="286">
        <f>4360.25+6200</f>
        <v>10560.25</v>
      </c>
      <c r="I93" s="261"/>
      <c r="J93" s="271"/>
      <c r="K93" s="272"/>
      <c r="L93" s="347">
        <f t="shared" si="28"/>
        <v>11310.25</v>
      </c>
      <c r="M93" s="280">
        <f t="shared" si="29"/>
        <v>7529.75</v>
      </c>
      <c r="N93" s="335"/>
      <c r="O93" s="274"/>
    </row>
    <row r="94" spans="1:15" s="275" customFormat="1" ht="23.25" customHeight="1">
      <c r="A94" s="320">
        <v>73</v>
      </c>
      <c r="B94" s="257" t="s">
        <v>519</v>
      </c>
      <c r="C94" s="258" t="s">
        <v>181</v>
      </c>
      <c r="D94" s="268" t="s">
        <v>520</v>
      </c>
      <c r="E94" s="303">
        <v>18450</v>
      </c>
      <c r="F94" s="269"/>
      <c r="G94" s="319">
        <f t="shared" si="25"/>
        <v>750</v>
      </c>
      <c r="H94" s="286">
        <f>800+2500</f>
        <v>3300</v>
      </c>
      <c r="I94" s="261"/>
      <c r="J94" s="271"/>
      <c r="K94" s="272"/>
      <c r="L94" s="347">
        <f t="shared" si="28"/>
        <v>4050</v>
      </c>
      <c r="M94" s="265">
        <f t="shared" si="29"/>
        <v>14400</v>
      </c>
      <c r="N94" s="273"/>
      <c r="O94" s="274"/>
    </row>
    <row r="95" spans="1:15" s="275" customFormat="1" ht="23.25" customHeight="1">
      <c r="A95" s="256">
        <v>74</v>
      </c>
      <c r="B95" s="257" t="s">
        <v>239</v>
      </c>
      <c r="C95" s="258" t="s">
        <v>79</v>
      </c>
      <c r="D95" s="268" t="s">
        <v>130</v>
      </c>
      <c r="E95" s="334">
        <v>20140</v>
      </c>
      <c r="F95" s="269"/>
      <c r="G95" s="319">
        <f t="shared" si="25"/>
        <v>750</v>
      </c>
      <c r="H95" s="270">
        <v>900</v>
      </c>
      <c r="I95" s="261">
        <f>I$5</f>
        <v>558</v>
      </c>
      <c r="J95" s="262"/>
      <c r="K95" s="263"/>
      <c r="L95" s="347">
        <f t="shared" si="28"/>
        <v>2208</v>
      </c>
      <c r="M95" s="265">
        <f t="shared" si="29"/>
        <v>17932</v>
      </c>
      <c r="N95" s="335"/>
      <c r="O95" s="274"/>
    </row>
    <row r="96" spans="1:15" ht="23.25" customHeight="1">
      <c r="A96" s="256"/>
      <c r="B96" s="292"/>
      <c r="C96" s="327" t="s">
        <v>79</v>
      </c>
      <c r="D96" s="294"/>
      <c r="E96" s="324"/>
      <c r="F96" s="269"/>
      <c r="G96" s="353"/>
      <c r="H96" s="427"/>
      <c r="I96" s="428"/>
      <c r="J96" s="333"/>
      <c r="K96" s="272"/>
      <c r="L96" s="425">
        <f t="shared" si="28"/>
        <v>0</v>
      </c>
      <c r="M96" s="265">
        <f t="shared" si="29"/>
        <v>0</v>
      </c>
      <c r="N96" s="318"/>
      <c r="O96" s="267"/>
    </row>
    <row r="97" spans="1:15" s="308" customFormat="1" ht="23.25" customHeight="1">
      <c r="A97" s="320">
        <v>75</v>
      </c>
      <c r="B97" s="257" t="s">
        <v>544</v>
      </c>
      <c r="C97" s="258" t="s">
        <v>79</v>
      </c>
      <c r="D97" s="268" t="s">
        <v>547</v>
      </c>
      <c r="E97" s="259">
        <v>18450</v>
      </c>
      <c r="F97" s="269"/>
      <c r="G97" s="319">
        <f>SUM(15000*5%)</f>
        <v>750</v>
      </c>
      <c r="H97" s="270">
        <v>800</v>
      </c>
      <c r="I97" s="290"/>
      <c r="J97" s="271"/>
      <c r="K97" s="272"/>
      <c r="L97" s="347">
        <f t="shared" si="28"/>
        <v>1550</v>
      </c>
      <c r="M97" s="265">
        <f t="shared" si="29"/>
        <v>16900</v>
      </c>
      <c r="N97" s="392"/>
      <c r="O97" s="307"/>
    </row>
    <row r="98" spans="1:15" s="275" customFormat="1" ht="23.25" customHeight="1">
      <c r="A98" s="256">
        <v>76</v>
      </c>
      <c r="B98" s="257" t="s">
        <v>94</v>
      </c>
      <c r="C98" s="258" t="s">
        <v>92</v>
      </c>
      <c r="D98" s="268" t="s">
        <v>95</v>
      </c>
      <c r="E98" s="259">
        <v>19940</v>
      </c>
      <c r="F98" s="269"/>
      <c r="G98" s="319">
        <f t="shared" ref="G98:G99" si="31">SUM(15000*5%)</f>
        <v>750</v>
      </c>
      <c r="H98" s="287">
        <f>1786.75+7500</f>
        <v>9286.75</v>
      </c>
      <c r="I98" s="261">
        <f>I$5</f>
        <v>558</v>
      </c>
      <c r="J98" s="262"/>
      <c r="K98" s="263"/>
      <c r="L98" s="347">
        <f t="shared" si="28"/>
        <v>10594.75</v>
      </c>
      <c r="M98" s="265">
        <f t="shared" si="29"/>
        <v>9345.25</v>
      </c>
      <c r="N98" s="291"/>
      <c r="O98" s="274"/>
    </row>
    <row r="99" spans="1:15" s="275" customFormat="1" ht="23.25" customHeight="1">
      <c r="A99" s="320">
        <v>77</v>
      </c>
      <c r="B99" s="257" t="s">
        <v>135</v>
      </c>
      <c r="C99" s="258" t="s">
        <v>92</v>
      </c>
      <c r="D99" s="268" t="s">
        <v>136</v>
      </c>
      <c r="E99" s="259">
        <v>20100</v>
      </c>
      <c r="F99" s="437"/>
      <c r="G99" s="319">
        <f t="shared" si="31"/>
        <v>750</v>
      </c>
      <c r="H99" s="287">
        <f>500+3800</f>
        <v>4300</v>
      </c>
      <c r="I99" s="261">
        <f>I$5</f>
        <v>558</v>
      </c>
      <c r="J99" s="271"/>
      <c r="K99" s="279"/>
      <c r="L99" s="347">
        <f>SUM(G99:K99)</f>
        <v>5608</v>
      </c>
      <c r="M99" s="265">
        <f>SUM(E99+F99-L99)</f>
        <v>14492</v>
      </c>
      <c r="N99" s="291"/>
      <c r="O99" s="274"/>
    </row>
    <row r="100" spans="1:15" s="275" customFormat="1" ht="23.25" customHeight="1" thickBot="1">
      <c r="A100" s="310"/>
      <c r="B100" s="310" t="s">
        <v>4</v>
      </c>
      <c r="C100" s="342"/>
      <c r="D100" s="312"/>
      <c r="E100" s="386">
        <f t="shared" ref="E100:M100" si="32">SUM(E75,E79:E99)</f>
        <v>1472860</v>
      </c>
      <c r="F100" s="386">
        <f t="shared" si="32"/>
        <v>0</v>
      </c>
      <c r="G100" s="314">
        <f t="shared" si="32"/>
        <v>57750.009999999995</v>
      </c>
      <c r="H100" s="386">
        <f t="shared" si="32"/>
        <v>364047.5</v>
      </c>
      <c r="I100" s="314">
        <f t="shared" si="32"/>
        <v>23994</v>
      </c>
      <c r="J100" s="314">
        <f t="shared" si="32"/>
        <v>1320</v>
      </c>
      <c r="K100" s="314">
        <f t="shared" ca="1" si="32"/>
        <v>0</v>
      </c>
      <c r="L100" s="313">
        <f t="shared" si="32"/>
        <v>447111.5</v>
      </c>
      <c r="M100" s="313">
        <f t="shared" si="32"/>
        <v>1025748.5</v>
      </c>
      <c r="N100" s="291"/>
      <c r="O100" s="274"/>
    </row>
    <row r="101" spans="1:15" s="275" customFormat="1" ht="19.5" customHeight="1" thickTop="1">
      <c r="A101" s="459">
        <v>5</v>
      </c>
      <c r="B101" s="459"/>
      <c r="C101" s="459"/>
      <c r="D101" s="459"/>
      <c r="E101" s="459"/>
      <c r="F101" s="459"/>
      <c r="G101" s="459"/>
      <c r="H101" s="459"/>
      <c r="I101" s="459"/>
      <c r="J101" s="459"/>
      <c r="K101" s="459"/>
      <c r="L101" s="459"/>
      <c r="M101" s="459"/>
      <c r="N101" s="291"/>
      <c r="O101" s="274"/>
    </row>
    <row r="102" spans="1:15" s="275" customFormat="1" ht="23.25" customHeight="1">
      <c r="A102" s="460" t="s">
        <v>1</v>
      </c>
      <c r="B102" s="462" t="s">
        <v>2</v>
      </c>
      <c r="C102" s="460" t="s">
        <v>9</v>
      </c>
      <c r="D102" s="460" t="s">
        <v>10</v>
      </c>
      <c r="E102" s="465" t="s">
        <v>11</v>
      </c>
      <c r="F102" s="248"/>
      <c r="G102" s="467" t="s">
        <v>14</v>
      </c>
      <c r="H102" s="468"/>
      <c r="I102" s="468"/>
      <c r="J102" s="468"/>
      <c r="K102" s="469"/>
      <c r="L102" s="249" t="s">
        <v>6</v>
      </c>
      <c r="M102" s="249" t="s">
        <v>3</v>
      </c>
      <c r="N102" s="291"/>
      <c r="O102" s="274"/>
    </row>
    <row r="103" spans="1:15" s="275" customFormat="1" ht="23.25" customHeight="1">
      <c r="A103" s="461"/>
      <c r="B103" s="463"/>
      <c r="C103" s="464"/>
      <c r="D103" s="464"/>
      <c r="E103" s="466"/>
      <c r="F103" s="250" t="s">
        <v>230</v>
      </c>
      <c r="G103" s="251" t="s">
        <v>12</v>
      </c>
      <c r="H103" s="252" t="s">
        <v>244</v>
      </c>
      <c r="I103" s="253" t="s">
        <v>7</v>
      </c>
      <c r="J103" s="253" t="s">
        <v>8</v>
      </c>
      <c r="K103" s="253"/>
      <c r="L103" s="254" t="s">
        <v>13</v>
      </c>
      <c r="M103" s="255" t="s">
        <v>184</v>
      </c>
      <c r="N103" s="291"/>
      <c r="O103" s="274"/>
    </row>
    <row r="104" spans="1:15" s="275" customFormat="1" ht="23.25" customHeight="1">
      <c r="A104" s="256">
        <v>78</v>
      </c>
      <c r="B104" s="257" t="s">
        <v>531</v>
      </c>
      <c r="C104" s="258" t="s">
        <v>92</v>
      </c>
      <c r="D104" s="268" t="s">
        <v>532</v>
      </c>
      <c r="E104" s="259">
        <v>18450</v>
      </c>
      <c r="F104" s="435"/>
      <c r="G104" s="260">
        <f>SUM(15000*5%)</f>
        <v>750</v>
      </c>
      <c r="H104" s="286"/>
      <c r="I104" s="261"/>
      <c r="J104" s="271"/>
      <c r="K104" s="279"/>
      <c r="L104" s="264">
        <f>SUM(G104:K104)</f>
        <v>750</v>
      </c>
      <c r="M104" s="265">
        <f t="shared" ref="M104:M111" si="33">SUM(E104+F104-L104)</f>
        <v>17700</v>
      </c>
      <c r="N104" s="273"/>
      <c r="O104" s="274"/>
    </row>
    <row r="105" spans="1:15" s="275" customFormat="1" ht="23.25" customHeight="1">
      <c r="A105" s="256">
        <v>79</v>
      </c>
      <c r="B105" s="257" t="s">
        <v>68</v>
      </c>
      <c r="C105" s="258" t="s">
        <v>66</v>
      </c>
      <c r="D105" s="268" t="s">
        <v>69</v>
      </c>
      <c r="E105" s="259">
        <v>19980</v>
      </c>
      <c r="F105" s="435"/>
      <c r="G105" s="325">
        <f>SUM(15000*5%)</f>
        <v>750</v>
      </c>
      <c r="H105" s="286">
        <f>2684.75+3800</f>
        <v>6484.75</v>
      </c>
      <c r="I105" s="261">
        <f>I$5</f>
        <v>558</v>
      </c>
      <c r="J105" s="271"/>
      <c r="K105" s="272"/>
      <c r="L105" s="264">
        <f>SUM(G105:K105)</f>
        <v>7792.75</v>
      </c>
      <c r="M105" s="265">
        <f t="shared" si="33"/>
        <v>12187.25</v>
      </c>
      <c r="N105" s="273"/>
      <c r="O105" s="274"/>
    </row>
    <row r="106" spans="1:15" ht="23.25" customHeight="1">
      <c r="A106" s="256">
        <v>80</v>
      </c>
      <c r="B106" s="257" t="s">
        <v>379</v>
      </c>
      <c r="C106" s="258" t="s">
        <v>66</v>
      </c>
      <c r="D106" s="268" t="s">
        <v>405</v>
      </c>
      <c r="E106" s="334">
        <v>18780</v>
      </c>
      <c r="F106" s="435"/>
      <c r="G106" s="325">
        <f t="shared" ref="G106:G124" si="34">SUM(15000*5%)</f>
        <v>750</v>
      </c>
      <c r="H106" s="270">
        <v>1000</v>
      </c>
      <c r="I106" s="261"/>
      <c r="J106" s="262"/>
      <c r="K106" s="263"/>
      <c r="L106" s="264">
        <f t="shared" ref="L106:L111" si="35">SUM(G106:K106)</f>
        <v>1750</v>
      </c>
      <c r="M106" s="265">
        <f t="shared" si="33"/>
        <v>17030</v>
      </c>
      <c r="N106" s="335"/>
      <c r="O106" s="267"/>
    </row>
    <row r="107" spans="1:15" s="308" customFormat="1" ht="23.25" customHeight="1">
      <c r="A107" s="256">
        <v>81</v>
      </c>
      <c r="B107" s="257" t="s">
        <v>555</v>
      </c>
      <c r="C107" s="258" t="s">
        <v>66</v>
      </c>
      <c r="D107" s="268" t="s">
        <v>556</v>
      </c>
      <c r="E107" s="259">
        <v>18450</v>
      </c>
      <c r="F107" s="435"/>
      <c r="G107" s="325">
        <f t="shared" si="34"/>
        <v>750</v>
      </c>
      <c r="H107" s="270">
        <v>2000</v>
      </c>
      <c r="I107" s="261">
        <f t="shared" ref="I107:I113" si="36">I$5</f>
        <v>558</v>
      </c>
      <c r="J107" s="272"/>
      <c r="K107" s="272"/>
      <c r="L107" s="264">
        <f t="shared" si="35"/>
        <v>3308</v>
      </c>
      <c r="M107" s="265">
        <f t="shared" si="33"/>
        <v>15142</v>
      </c>
      <c r="N107" s="306"/>
      <c r="O107" s="307"/>
    </row>
    <row r="108" spans="1:15" s="275" customFormat="1" ht="23.25" customHeight="1">
      <c r="A108" s="256">
        <v>82</v>
      </c>
      <c r="B108" s="257" t="s">
        <v>63</v>
      </c>
      <c r="C108" s="258" t="s">
        <v>64</v>
      </c>
      <c r="D108" s="268" t="s">
        <v>65</v>
      </c>
      <c r="E108" s="259">
        <v>19980</v>
      </c>
      <c r="F108" s="435"/>
      <c r="G108" s="325">
        <f t="shared" si="34"/>
        <v>750</v>
      </c>
      <c r="H108" s="281">
        <f>6819.5+10000</f>
        <v>16819.5</v>
      </c>
      <c r="I108" s="261">
        <f t="shared" si="36"/>
        <v>558</v>
      </c>
      <c r="J108" s="282">
        <f>J$5</f>
        <v>264</v>
      </c>
      <c r="K108" s="283"/>
      <c r="L108" s="264">
        <f t="shared" si="35"/>
        <v>18391.5</v>
      </c>
      <c r="M108" s="265">
        <f t="shared" si="33"/>
        <v>1588.5</v>
      </c>
      <c r="N108" s="335"/>
      <c r="O108" s="274"/>
    </row>
    <row r="109" spans="1:15" s="275" customFormat="1" ht="23.25" customHeight="1">
      <c r="A109" s="256">
        <v>83</v>
      </c>
      <c r="B109" s="257" t="s">
        <v>458</v>
      </c>
      <c r="C109" s="258" t="s">
        <v>64</v>
      </c>
      <c r="D109" s="268" t="s">
        <v>459</v>
      </c>
      <c r="E109" s="303">
        <v>18450</v>
      </c>
      <c r="F109" s="435"/>
      <c r="G109" s="325">
        <f t="shared" si="34"/>
        <v>750</v>
      </c>
      <c r="H109" s="270">
        <v>4820.75</v>
      </c>
      <c r="I109" s="261"/>
      <c r="J109" s="271"/>
      <c r="K109" s="272"/>
      <c r="L109" s="264">
        <f t="shared" si="35"/>
        <v>5570.75</v>
      </c>
      <c r="M109" s="265">
        <f t="shared" si="33"/>
        <v>12879.25</v>
      </c>
      <c r="N109" s="273"/>
      <c r="O109" s="274"/>
    </row>
    <row r="110" spans="1:15" s="275" customFormat="1" ht="23.25" customHeight="1">
      <c r="A110" s="256">
        <v>84</v>
      </c>
      <c r="B110" s="257" t="s">
        <v>390</v>
      </c>
      <c r="C110" s="258" t="s">
        <v>83</v>
      </c>
      <c r="D110" s="268" t="s">
        <v>396</v>
      </c>
      <c r="E110" s="259">
        <v>18650</v>
      </c>
      <c r="F110" s="435"/>
      <c r="G110" s="325">
        <f t="shared" si="34"/>
        <v>750</v>
      </c>
      <c r="H110" s="286">
        <f>5615.25+3800</f>
        <v>9415.25</v>
      </c>
      <c r="I110" s="261">
        <f t="shared" si="36"/>
        <v>558</v>
      </c>
      <c r="J110" s="271"/>
      <c r="K110" s="272"/>
      <c r="L110" s="264">
        <f t="shared" si="35"/>
        <v>10723.25</v>
      </c>
      <c r="M110" s="265">
        <f t="shared" si="33"/>
        <v>7926.75</v>
      </c>
      <c r="N110" s="335"/>
      <c r="O110" s="274"/>
    </row>
    <row r="111" spans="1:15" s="275" customFormat="1" ht="23.25" customHeight="1">
      <c r="A111" s="256">
        <v>85</v>
      </c>
      <c r="B111" s="292" t="s">
        <v>326</v>
      </c>
      <c r="C111" s="293" t="s">
        <v>83</v>
      </c>
      <c r="D111" s="294" t="s">
        <v>335</v>
      </c>
      <c r="E111" s="303">
        <v>18940</v>
      </c>
      <c r="F111" s="435"/>
      <c r="G111" s="325">
        <f t="shared" si="34"/>
        <v>750</v>
      </c>
      <c r="H111" s="287">
        <f>5529+7500</f>
        <v>13029</v>
      </c>
      <c r="I111" s="261">
        <f t="shared" si="36"/>
        <v>558</v>
      </c>
      <c r="J111" s="271"/>
      <c r="K111" s="279"/>
      <c r="L111" s="264">
        <f t="shared" si="35"/>
        <v>14337</v>
      </c>
      <c r="M111" s="280">
        <f t="shared" si="33"/>
        <v>4603</v>
      </c>
      <c r="N111" s="273"/>
      <c r="O111" s="274"/>
    </row>
    <row r="112" spans="1:15" s="275" customFormat="1" ht="23.25" customHeight="1">
      <c r="A112" s="256">
        <v>86</v>
      </c>
      <c r="B112" s="292" t="s">
        <v>588</v>
      </c>
      <c r="C112" s="293" t="s">
        <v>355</v>
      </c>
      <c r="D112" s="294" t="s">
        <v>589</v>
      </c>
      <c r="E112" s="303">
        <v>18000</v>
      </c>
      <c r="F112" s="435"/>
      <c r="G112" s="325">
        <f t="shared" si="34"/>
        <v>750</v>
      </c>
      <c r="H112" s="287"/>
      <c r="I112" s="261"/>
      <c r="J112" s="271"/>
      <c r="K112" s="279"/>
      <c r="L112" s="264">
        <f t="shared" ref="L112:L124" si="37">SUM(G112:K112)</f>
        <v>750</v>
      </c>
      <c r="M112" s="280">
        <f t="shared" ref="M112:M124" si="38">SUM(E112+F112-L112)</f>
        <v>17250</v>
      </c>
      <c r="N112" s="273"/>
      <c r="O112" s="274"/>
    </row>
    <row r="113" spans="1:15" s="275" customFormat="1" ht="23.25" customHeight="1">
      <c r="A113" s="256">
        <v>87</v>
      </c>
      <c r="B113" s="276" t="s">
        <v>133</v>
      </c>
      <c r="C113" s="277" t="s">
        <v>355</v>
      </c>
      <c r="D113" s="278" t="s">
        <v>134</v>
      </c>
      <c r="E113" s="303">
        <v>20240</v>
      </c>
      <c r="F113" s="435"/>
      <c r="G113" s="325">
        <f t="shared" si="34"/>
        <v>750</v>
      </c>
      <c r="H113" s="366">
        <f>1418.25+7500</f>
        <v>8918.25</v>
      </c>
      <c r="I113" s="261">
        <f t="shared" si="36"/>
        <v>558</v>
      </c>
      <c r="J113" s="282">
        <f>J$5</f>
        <v>264</v>
      </c>
      <c r="K113" s="283"/>
      <c r="L113" s="264">
        <f t="shared" si="37"/>
        <v>10490.25</v>
      </c>
      <c r="M113" s="265">
        <f t="shared" si="38"/>
        <v>9749.75</v>
      </c>
      <c r="N113" s="291"/>
      <c r="O113" s="274"/>
    </row>
    <row r="114" spans="1:15" ht="23.25" customHeight="1">
      <c r="A114" s="256">
        <v>88</v>
      </c>
      <c r="B114" s="257" t="s">
        <v>572</v>
      </c>
      <c r="C114" s="258" t="s">
        <v>355</v>
      </c>
      <c r="D114" s="268" t="s">
        <v>573</v>
      </c>
      <c r="E114" s="334">
        <v>18000</v>
      </c>
      <c r="F114" s="435"/>
      <c r="G114" s="325">
        <f t="shared" si="34"/>
        <v>750</v>
      </c>
      <c r="H114" s="270">
        <v>800</v>
      </c>
      <c r="I114" s="261"/>
      <c r="J114" s="262"/>
      <c r="K114" s="263"/>
      <c r="L114" s="264">
        <f t="shared" si="37"/>
        <v>1550</v>
      </c>
      <c r="M114" s="265">
        <f t="shared" si="38"/>
        <v>16450</v>
      </c>
      <c r="N114" s="438"/>
      <c r="O114" s="267"/>
    </row>
    <row r="115" spans="1:15" s="275" customFormat="1" ht="23.25" customHeight="1">
      <c r="A115" s="256">
        <v>89</v>
      </c>
      <c r="B115" s="276" t="s">
        <v>564</v>
      </c>
      <c r="C115" s="277" t="s">
        <v>88</v>
      </c>
      <c r="D115" s="278" t="s">
        <v>420</v>
      </c>
      <c r="E115" s="303">
        <v>18840</v>
      </c>
      <c r="F115" s="435"/>
      <c r="G115" s="325">
        <f t="shared" si="34"/>
        <v>750</v>
      </c>
      <c r="H115" s="332"/>
      <c r="I115" s="261">
        <f>I$5</f>
        <v>558</v>
      </c>
      <c r="J115" s="282"/>
      <c r="K115" s="283"/>
      <c r="L115" s="264">
        <f t="shared" si="37"/>
        <v>1308</v>
      </c>
      <c r="M115" s="265">
        <f t="shared" si="38"/>
        <v>17532</v>
      </c>
      <c r="N115" s="359"/>
      <c r="O115" s="274"/>
    </row>
    <row r="116" spans="1:15" ht="23.25" customHeight="1">
      <c r="A116" s="256">
        <v>90</v>
      </c>
      <c r="B116" s="276" t="s">
        <v>383</v>
      </c>
      <c r="C116" s="277" t="s">
        <v>88</v>
      </c>
      <c r="D116" s="278" t="s">
        <v>399</v>
      </c>
      <c r="E116" s="303">
        <v>18800</v>
      </c>
      <c r="F116" s="435"/>
      <c r="G116" s="325">
        <f t="shared" si="34"/>
        <v>750</v>
      </c>
      <c r="H116" s="332"/>
      <c r="I116" s="261">
        <f t="shared" ref="I116:I118" si="39">I$5</f>
        <v>558</v>
      </c>
      <c r="J116" s="298"/>
      <c r="K116" s="299"/>
      <c r="L116" s="264">
        <f t="shared" si="37"/>
        <v>1308</v>
      </c>
      <c r="M116" s="265">
        <f t="shared" si="38"/>
        <v>17492</v>
      </c>
      <c r="N116" s="351"/>
      <c r="O116" s="267"/>
    </row>
    <row r="117" spans="1:15" ht="23.25" customHeight="1">
      <c r="A117" s="256">
        <v>91</v>
      </c>
      <c r="B117" s="276" t="s">
        <v>435</v>
      </c>
      <c r="C117" s="277" t="s">
        <v>88</v>
      </c>
      <c r="D117" s="278" t="s">
        <v>446</v>
      </c>
      <c r="E117" s="303">
        <v>18720</v>
      </c>
      <c r="F117" s="435"/>
      <c r="G117" s="325">
        <f t="shared" si="34"/>
        <v>750</v>
      </c>
      <c r="H117" s="413">
        <f>0+3800</f>
        <v>3800</v>
      </c>
      <c r="I117" s="261">
        <f t="shared" si="39"/>
        <v>558</v>
      </c>
      <c r="J117" s="262"/>
      <c r="K117" s="263"/>
      <c r="L117" s="264">
        <f t="shared" si="37"/>
        <v>5108</v>
      </c>
      <c r="M117" s="265">
        <f t="shared" si="38"/>
        <v>13612</v>
      </c>
      <c r="N117" s="318"/>
      <c r="O117" s="267"/>
    </row>
    <row r="118" spans="1:15" s="275" customFormat="1" ht="23.25" customHeight="1">
      <c r="A118" s="256">
        <v>92</v>
      </c>
      <c r="B118" s="257" t="s">
        <v>320</v>
      </c>
      <c r="C118" s="258" t="s">
        <v>88</v>
      </c>
      <c r="D118" s="268" t="s">
        <v>331</v>
      </c>
      <c r="E118" s="303">
        <v>18840</v>
      </c>
      <c r="F118" s="435"/>
      <c r="G118" s="325">
        <f t="shared" si="34"/>
        <v>750</v>
      </c>
      <c r="H118" s="286">
        <f>0+6200</f>
        <v>6200</v>
      </c>
      <c r="I118" s="261">
        <f t="shared" si="39"/>
        <v>558</v>
      </c>
      <c r="J118" s="271"/>
      <c r="K118" s="272"/>
      <c r="L118" s="264">
        <f t="shared" si="37"/>
        <v>7508</v>
      </c>
      <c r="M118" s="265">
        <f t="shared" si="38"/>
        <v>11332</v>
      </c>
      <c r="N118" s="273"/>
      <c r="O118" s="274"/>
    </row>
    <row r="119" spans="1:15" ht="23.25" customHeight="1">
      <c r="A119" s="256">
        <v>93</v>
      </c>
      <c r="B119" s="257" t="s">
        <v>167</v>
      </c>
      <c r="C119" s="258" t="s">
        <v>431</v>
      </c>
      <c r="D119" s="268" t="s">
        <v>169</v>
      </c>
      <c r="E119" s="259">
        <v>19910</v>
      </c>
      <c r="F119" s="435"/>
      <c r="G119" s="325">
        <f t="shared" si="34"/>
        <v>750</v>
      </c>
      <c r="H119" s="270">
        <v>11612.5</v>
      </c>
      <c r="I119" s="261">
        <f t="shared" ref="I119:I124" si="40">I$5</f>
        <v>558</v>
      </c>
      <c r="J119" s="282">
        <f>J$5</f>
        <v>264</v>
      </c>
      <c r="K119" s="283"/>
      <c r="L119" s="264">
        <f t="shared" si="37"/>
        <v>13184.5</v>
      </c>
      <c r="M119" s="265">
        <f t="shared" si="38"/>
        <v>6725.5</v>
      </c>
      <c r="N119" s="266"/>
      <c r="O119" s="267"/>
    </row>
    <row r="120" spans="1:15" s="275" customFormat="1" ht="23.25" customHeight="1">
      <c r="A120" s="256">
        <v>94</v>
      </c>
      <c r="B120" s="257" t="s">
        <v>521</v>
      </c>
      <c r="C120" s="258" t="s">
        <v>147</v>
      </c>
      <c r="D120" s="268" t="s">
        <v>148</v>
      </c>
      <c r="E120" s="259">
        <v>20100</v>
      </c>
      <c r="F120" s="435"/>
      <c r="G120" s="325">
        <f t="shared" si="34"/>
        <v>750</v>
      </c>
      <c r="H120" s="286">
        <f>8106.25+3800</f>
        <v>11906.25</v>
      </c>
      <c r="I120" s="261">
        <f t="shared" si="40"/>
        <v>558</v>
      </c>
      <c r="J120" s="271"/>
      <c r="K120" s="272"/>
      <c r="L120" s="264">
        <f t="shared" si="37"/>
        <v>13214.25</v>
      </c>
      <c r="M120" s="265">
        <f t="shared" si="38"/>
        <v>6885.75</v>
      </c>
      <c r="N120" s="273"/>
      <c r="O120" s="274"/>
    </row>
    <row r="121" spans="1:15" s="275" customFormat="1" ht="23.25" customHeight="1">
      <c r="A121" s="256">
        <v>95</v>
      </c>
      <c r="B121" s="257" t="s">
        <v>324</v>
      </c>
      <c r="C121" s="363" t="s">
        <v>90</v>
      </c>
      <c r="D121" s="268" t="s">
        <v>325</v>
      </c>
      <c r="E121" s="259">
        <v>18930</v>
      </c>
      <c r="F121" s="435"/>
      <c r="G121" s="325">
        <f t="shared" si="34"/>
        <v>750</v>
      </c>
      <c r="H121" s="270">
        <v>6413.25</v>
      </c>
      <c r="I121" s="261">
        <f t="shared" si="40"/>
        <v>558</v>
      </c>
      <c r="J121" s="271"/>
      <c r="K121" s="272"/>
      <c r="L121" s="264">
        <f t="shared" si="37"/>
        <v>7721.25</v>
      </c>
      <c r="M121" s="265">
        <f t="shared" si="38"/>
        <v>11208.75</v>
      </c>
      <c r="N121" s="273"/>
      <c r="O121" s="274"/>
    </row>
    <row r="122" spans="1:15" ht="23.25" customHeight="1">
      <c r="A122" s="256">
        <v>96</v>
      </c>
      <c r="B122" s="257" t="s">
        <v>238</v>
      </c>
      <c r="C122" s="258" t="s">
        <v>62</v>
      </c>
      <c r="D122" s="268" t="s">
        <v>123</v>
      </c>
      <c r="E122" s="334">
        <v>19980</v>
      </c>
      <c r="F122" s="435"/>
      <c r="G122" s="325">
        <f>SUM(15000*5%)</f>
        <v>750</v>
      </c>
      <c r="H122" s="287">
        <f>7211+7500</f>
        <v>14711</v>
      </c>
      <c r="I122" s="261">
        <f t="shared" si="40"/>
        <v>558</v>
      </c>
      <c r="J122" s="262"/>
      <c r="K122" s="263"/>
      <c r="L122" s="264">
        <f t="shared" si="37"/>
        <v>16019</v>
      </c>
      <c r="M122" s="265">
        <f t="shared" si="38"/>
        <v>3961</v>
      </c>
      <c r="N122" s="266"/>
      <c r="O122" s="267"/>
    </row>
    <row r="123" spans="1:15" s="357" customFormat="1" ht="23.25" customHeight="1">
      <c r="A123" s="256">
        <v>97</v>
      </c>
      <c r="B123" s="257" t="s">
        <v>343</v>
      </c>
      <c r="C123" s="258" t="s">
        <v>62</v>
      </c>
      <c r="D123" s="268" t="s">
        <v>344</v>
      </c>
      <c r="E123" s="259">
        <v>18860</v>
      </c>
      <c r="F123" s="435"/>
      <c r="G123" s="325">
        <f t="shared" si="34"/>
        <v>750</v>
      </c>
      <c r="H123" s="270">
        <v>5682.25</v>
      </c>
      <c r="I123" s="261">
        <f t="shared" si="40"/>
        <v>558</v>
      </c>
      <c r="J123" s="271"/>
      <c r="K123" s="272"/>
      <c r="L123" s="264">
        <f t="shared" si="37"/>
        <v>6990.25</v>
      </c>
      <c r="M123" s="265">
        <f t="shared" si="38"/>
        <v>11869.75</v>
      </c>
      <c r="N123" s="367"/>
      <c r="O123" s="356"/>
    </row>
    <row r="124" spans="1:15" s="275" customFormat="1" ht="23.25" customHeight="1">
      <c r="A124" s="256">
        <v>98</v>
      </c>
      <c r="B124" s="257" t="s">
        <v>247</v>
      </c>
      <c r="C124" s="363" t="s">
        <v>190</v>
      </c>
      <c r="D124" s="268" t="s">
        <v>248</v>
      </c>
      <c r="E124" s="259">
        <v>19220</v>
      </c>
      <c r="F124" s="435"/>
      <c r="G124" s="325">
        <f t="shared" si="34"/>
        <v>750</v>
      </c>
      <c r="H124" s="281">
        <f>6461+9400</f>
        <v>15861</v>
      </c>
      <c r="I124" s="261">
        <f t="shared" si="40"/>
        <v>558</v>
      </c>
      <c r="J124" s="271"/>
      <c r="K124" s="272"/>
      <c r="L124" s="264">
        <f t="shared" si="37"/>
        <v>17169</v>
      </c>
      <c r="M124" s="265">
        <f t="shared" si="38"/>
        <v>2051</v>
      </c>
      <c r="N124" s="335"/>
      <c r="O124" s="274"/>
    </row>
    <row r="125" spans="1:15" ht="23.25" customHeight="1" thickBot="1">
      <c r="A125" s="310"/>
      <c r="B125" s="310" t="s">
        <v>4</v>
      </c>
      <c r="C125" s="342"/>
      <c r="D125" s="361"/>
      <c r="E125" s="386">
        <f t="shared" ref="E125:J125" si="41">SUM(E100,E104:E124)</f>
        <v>1872980</v>
      </c>
      <c r="F125" s="386">
        <f t="shared" si="41"/>
        <v>0</v>
      </c>
      <c r="G125" s="314">
        <f t="shared" si="41"/>
        <v>73500.009999999995</v>
      </c>
      <c r="H125" s="386">
        <f t="shared" si="41"/>
        <v>503521.25</v>
      </c>
      <c r="I125" s="314">
        <f t="shared" si="41"/>
        <v>32922</v>
      </c>
      <c r="J125" s="314">
        <f t="shared" si="41"/>
        <v>2112</v>
      </c>
      <c r="K125" s="314">
        <f ca="1">SUM(K100,K105:K124)</f>
        <v>0</v>
      </c>
      <c r="L125" s="313">
        <f>SUM(L100,L104:L124)</f>
        <v>612055.25</v>
      </c>
      <c r="M125" s="313">
        <f>SUM(M100,M104:M124)</f>
        <v>1260924.75</v>
      </c>
      <c r="N125" s="344"/>
      <c r="O125" s="267"/>
    </row>
    <row r="126" spans="1:15" s="318" customFormat="1" ht="20.25" customHeight="1" thickTop="1">
      <c r="A126" s="459">
        <v>6</v>
      </c>
      <c r="B126" s="459"/>
      <c r="C126" s="459"/>
      <c r="D126" s="459"/>
      <c r="E126" s="459"/>
      <c r="F126" s="459"/>
      <c r="G126" s="459"/>
      <c r="H126" s="459"/>
      <c r="I126" s="459"/>
      <c r="J126" s="459"/>
      <c r="K126" s="459"/>
      <c r="L126" s="459"/>
      <c r="M126" s="459"/>
      <c r="N126" s="316"/>
      <c r="O126" s="317"/>
    </row>
    <row r="127" spans="1:15" ht="23.25" customHeight="1">
      <c r="A127" s="460" t="s">
        <v>1</v>
      </c>
      <c r="B127" s="462" t="s">
        <v>2</v>
      </c>
      <c r="C127" s="460" t="s">
        <v>9</v>
      </c>
      <c r="D127" s="460" t="s">
        <v>10</v>
      </c>
      <c r="E127" s="465" t="s">
        <v>11</v>
      </c>
      <c r="F127" s="248"/>
      <c r="G127" s="467" t="s">
        <v>14</v>
      </c>
      <c r="H127" s="468"/>
      <c r="I127" s="468"/>
      <c r="J127" s="468"/>
      <c r="K127" s="469"/>
      <c r="L127" s="249" t="s">
        <v>6</v>
      </c>
      <c r="M127" s="249" t="s">
        <v>3</v>
      </c>
    </row>
    <row r="128" spans="1:15" ht="23.25" customHeight="1">
      <c r="A128" s="461"/>
      <c r="B128" s="463"/>
      <c r="C128" s="464"/>
      <c r="D128" s="464"/>
      <c r="E128" s="466"/>
      <c r="F128" s="250" t="s">
        <v>230</v>
      </c>
      <c r="G128" s="251" t="s">
        <v>12</v>
      </c>
      <c r="H128" s="252" t="s">
        <v>244</v>
      </c>
      <c r="I128" s="253" t="s">
        <v>7</v>
      </c>
      <c r="J128" s="253" t="s">
        <v>8</v>
      </c>
      <c r="K128" s="253"/>
      <c r="L128" s="254" t="s">
        <v>13</v>
      </c>
      <c r="M128" s="255" t="s">
        <v>184</v>
      </c>
    </row>
    <row r="129" spans="1:15" ht="23.25" customHeight="1">
      <c r="A129" s="256">
        <v>99</v>
      </c>
      <c r="B129" s="257" t="s">
        <v>582</v>
      </c>
      <c r="C129" s="258" t="s">
        <v>190</v>
      </c>
      <c r="D129" s="268" t="s">
        <v>583</v>
      </c>
      <c r="E129" s="303">
        <v>18000</v>
      </c>
      <c r="F129" s="288"/>
      <c r="G129" s="325">
        <f>SUM(15000*5%)</f>
        <v>750</v>
      </c>
      <c r="H129" s="287"/>
      <c r="I129" s="261"/>
      <c r="J129" s="271"/>
      <c r="K129" s="345"/>
      <c r="L129" s="264">
        <f>SUM(G129:K129)</f>
        <v>750</v>
      </c>
      <c r="M129" s="265">
        <f>SUM(E129+F129-L129)</f>
        <v>17250</v>
      </c>
    </row>
    <row r="130" spans="1:15" s="275" customFormat="1" ht="23.25" customHeight="1">
      <c r="A130" s="256">
        <v>100</v>
      </c>
      <c r="B130" s="276" t="s">
        <v>76</v>
      </c>
      <c r="C130" s="277" t="s">
        <v>77</v>
      </c>
      <c r="D130" s="278" t="s">
        <v>236</v>
      </c>
      <c r="E130" s="303">
        <v>19830</v>
      </c>
      <c r="F130" s="288"/>
      <c r="G130" s="319">
        <f>SUM(15000*5%)</f>
        <v>750</v>
      </c>
      <c r="H130" s="352">
        <f>8082.5+9200</f>
        <v>17282.5</v>
      </c>
      <c r="I130" s="261">
        <f>I$5</f>
        <v>558</v>
      </c>
      <c r="J130" s="282">
        <f>J$5</f>
        <v>264</v>
      </c>
      <c r="K130" s="279"/>
      <c r="L130" s="264">
        <f>SUM(G130:K130)</f>
        <v>18854.5</v>
      </c>
      <c r="M130" s="265">
        <f t="shared" ref="M130:M149" si="42">SUM(E130+F130-L130)</f>
        <v>975.5</v>
      </c>
      <c r="N130" s="291"/>
      <c r="O130" s="274"/>
    </row>
    <row r="131" spans="1:15" ht="23.25" customHeight="1">
      <c r="A131" s="256">
        <v>101</v>
      </c>
      <c r="B131" s="276" t="s">
        <v>419</v>
      </c>
      <c r="C131" s="277" t="s">
        <v>74</v>
      </c>
      <c r="D131" s="278" t="s">
        <v>422</v>
      </c>
      <c r="E131" s="334"/>
      <c r="F131" s="269"/>
      <c r="G131" s="319"/>
      <c r="H131" s="332"/>
      <c r="I131" s="364"/>
      <c r="J131" s="284"/>
      <c r="K131" s="368"/>
      <c r="L131" s="264">
        <f>SUM(G131:K131)</f>
        <v>0</v>
      </c>
      <c r="M131" s="265">
        <f t="shared" si="42"/>
        <v>0</v>
      </c>
      <c r="N131" s="266"/>
      <c r="O131" s="267"/>
    </row>
    <row r="132" spans="1:15" s="275" customFormat="1" ht="23.25" customHeight="1">
      <c r="A132" s="256">
        <v>102</v>
      </c>
      <c r="B132" s="276" t="s">
        <v>73</v>
      </c>
      <c r="C132" s="277" t="s">
        <v>74</v>
      </c>
      <c r="D132" s="278" t="s">
        <v>75</v>
      </c>
      <c r="E132" s="259">
        <v>19830</v>
      </c>
      <c r="F132" s="269"/>
      <c r="G132" s="319">
        <f t="shared" ref="G132:G149" si="43">SUM(15000*5%)</f>
        <v>750</v>
      </c>
      <c r="H132" s="369">
        <f>6560.75+6200</f>
        <v>12760.75</v>
      </c>
      <c r="I132" s="261">
        <f>I$5</f>
        <v>558</v>
      </c>
      <c r="J132" s="282"/>
      <c r="K132" s="272"/>
      <c r="L132" s="264">
        <f t="shared" ref="L132:L149" si="44">SUM(G132:K132)</f>
        <v>14068.75</v>
      </c>
      <c r="M132" s="265">
        <f t="shared" si="42"/>
        <v>5761.25</v>
      </c>
      <c r="N132" s="291"/>
      <c r="O132" s="274"/>
    </row>
    <row r="133" spans="1:15" ht="23.25" customHeight="1">
      <c r="A133" s="256">
        <v>103</v>
      </c>
      <c r="B133" s="276" t="s">
        <v>391</v>
      </c>
      <c r="C133" s="331" t="s">
        <v>70</v>
      </c>
      <c r="D133" s="278" t="s">
        <v>397</v>
      </c>
      <c r="E133" s="303">
        <v>18720</v>
      </c>
      <c r="F133" s="269"/>
      <c r="G133" s="319">
        <f t="shared" si="43"/>
        <v>750</v>
      </c>
      <c r="H133" s="441">
        <v>5593.25</v>
      </c>
      <c r="I133" s="261">
        <f t="shared" ref="I133:I134" si="45">I$5</f>
        <v>558</v>
      </c>
      <c r="J133" s="298"/>
      <c r="K133" s="263"/>
      <c r="L133" s="264">
        <f t="shared" si="44"/>
        <v>6901.25</v>
      </c>
      <c r="M133" s="265">
        <f t="shared" si="42"/>
        <v>11818.75</v>
      </c>
      <c r="N133" s="318"/>
      <c r="O133" s="267"/>
    </row>
    <row r="134" spans="1:15" s="275" customFormat="1" ht="23.25" customHeight="1">
      <c r="A134" s="256">
        <v>104</v>
      </c>
      <c r="B134" s="276" t="s">
        <v>71</v>
      </c>
      <c r="C134" s="277" t="s">
        <v>70</v>
      </c>
      <c r="D134" s="278" t="s">
        <v>72</v>
      </c>
      <c r="E134" s="259">
        <v>19830</v>
      </c>
      <c r="F134" s="269"/>
      <c r="G134" s="319">
        <f t="shared" si="43"/>
        <v>750</v>
      </c>
      <c r="H134" s="366">
        <f>7354.25+7500</f>
        <v>14854.25</v>
      </c>
      <c r="I134" s="261">
        <f t="shared" si="45"/>
        <v>558</v>
      </c>
      <c r="J134" s="282"/>
      <c r="K134" s="272"/>
      <c r="L134" s="264">
        <f t="shared" si="44"/>
        <v>16162.25</v>
      </c>
      <c r="M134" s="265">
        <f t="shared" si="42"/>
        <v>3667.75</v>
      </c>
      <c r="N134" s="291"/>
      <c r="O134" s="274"/>
    </row>
    <row r="135" spans="1:15" ht="23.25" customHeight="1">
      <c r="A135" s="256">
        <v>105</v>
      </c>
      <c r="B135" s="276" t="s">
        <v>392</v>
      </c>
      <c r="C135" s="331" t="s">
        <v>70</v>
      </c>
      <c r="D135" s="278" t="s">
        <v>398</v>
      </c>
      <c r="E135" s="303">
        <v>18720</v>
      </c>
      <c r="F135" s="269"/>
      <c r="G135" s="319">
        <f t="shared" si="43"/>
        <v>750</v>
      </c>
      <c r="H135" s="332">
        <v>4926</v>
      </c>
      <c r="I135" s="370"/>
      <c r="J135" s="298"/>
      <c r="K135" s="263"/>
      <c r="L135" s="264">
        <f t="shared" si="44"/>
        <v>5676</v>
      </c>
      <c r="M135" s="265">
        <f t="shared" si="42"/>
        <v>13044</v>
      </c>
      <c r="N135" s="318"/>
      <c r="O135" s="267"/>
    </row>
    <row r="136" spans="1:15" s="275" customFormat="1" ht="23.25" customHeight="1">
      <c r="A136" s="256">
        <v>106</v>
      </c>
      <c r="B136" s="257" t="s">
        <v>389</v>
      </c>
      <c r="C136" s="258" t="s">
        <v>60</v>
      </c>
      <c r="D136" s="268" t="s">
        <v>395</v>
      </c>
      <c r="E136" s="259">
        <v>18720</v>
      </c>
      <c r="F136" s="269"/>
      <c r="G136" s="319">
        <f t="shared" si="43"/>
        <v>750</v>
      </c>
      <c r="H136" s="286">
        <f>4947.25+3800</f>
        <v>8747.25</v>
      </c>
      <c r="I136" s="261"/>
      <c r="J136" s="271"/>
      <c r="K136" s="272"/>
      <c r="L136" s="264">
        <f t="shared" si="44"/>
        <v>9497.25</v>
      </c>
      <c r="M136" s="265">
        <f t="shared" si="42"/>
        <v>9222.75</v>
      </c>
      <c r="N136" s="273"/>
      <c r="O136" s="274"/>
    </row>
    <row r="137" spans="1:15" s="275" customFormat="1" ht="23.25" customHeight="1">
      <c r="A137" s="256">
        <v>107</v>
      </c>
      <c r="B137" s="276" t="s">
        <v>225</v>
      </c>
      <c r="C137" s="277" t="s">
        <v>222</v>
      </c>
      <c r="D137" s="278" t="s">
        <v>256</v>
      </c>
      <c r="E137" s="321">
        <v>19940</v>
      </c>
      <c r="F137" s="269"/>
      <c r="G137" s="319">
        <f t="shared" si="43"/>
        <v>750</v>
      </c>
      <c r="H137" s="354">
        <f>2800+6200</f>
        <v>9000</v>
      </c>
      <c r="I137" s="364">
        <f>I$5</f>
        <v>558</v>
      </c>
      <c r="J137" s="282">
        <f>J$5</f>
        <v>264</v>
      </c>
      <c r="K137" s="272"/>
      <c r="L137" s="264">
        <f t="shared" si="44"/>
        <v>10572</v>
      </c>
      <c r="M137" s="280">
        <f t="shared" si="42"/>
        <v>9368</v>
      </c>
      <c r="N137" s="291"/>
      <c r="O137" s="274"/>
    </row>
    <row r="138" spans="1:15" s="275" customFormat="1" ht="23.25" customHeight="1">
      <c r="A138" s="256">
        <v>108</v>
      </c>
      <c r="B138" s="257" t="s">
        <v>221</v>
      </c>
      <c r="C138" s="258" t="s">
        <v>222</v>
      </c>
      <c r="D138" s="268" t="s">
        <v>258</v>
      </c>
      <c r="E138" s="321">
        <v>20000</v>
      </c>
      <c r="F138" s="269"/>
      <c r="G138" s="319">
        <f>SUM(15000*5%)</f>
        <v>750</v>
      </c>
      <c r="H138" s="270">
        <v>2069</v>
      </c>
      <c r="I138" s="371"/>
      <c r="J138" s="271"/>
      <c r="K138" s="272"/>
      <c r="L138" s="264">
        <f t="shared" si="44"/>
        <v>2819</v>
      </c>
      <c r="M138" s="280">
        <f t="shared" si="42"/>
        <v>17181</v>
      </c>
      <c r="N138" s="273"/>
      <c r="O138" s="274"/>
    </row>
    <row r="139" spans="1:15" s="275" customFormat="1" ht="23.25" customHeight="1">
      <c r="A139" s="256">
        <v>109</v>
      </c>
      <c r="B139" s="276" t="s">
        <v>574</v>
      </c>
      <c r="C139" s="277" t="s">
        <v>222</v>
      </c>
      <c r="D139" s="278" t="s">
        <v>577</v>
      </c>
      <c r="E139" s="303">
        <v>18000</v>
      </c>
      <c r="F139" s="269"/>
      <c r="G139" s="319">
        <f t="shared" si="43"/>
        <v>750</v>
      </c>
      <c r="H139" s="332">
        <v>800</v>
      </c>
      <c r="I139" s="261"/>
      <c r="J139" s="282"/>
      <c r="K139" s="272"/>
      <c r="L139" s="264">
        <f t="shared" si="44"/>
        <v>1550</v>
      </c>
      <c r="M139" s="280">
        <f>SUM(E139+F139-L139)</f>
        <v>16450</v>
      </c>
      <c r="N139" s="351"/>
      <c r="O139" s="274"/>
    </row>
    <row r="140" spans="1:15" s="275" customFormat="1" ht="23.25" customHeight="1">
      <c r="A140" s="256">
        <v>110</v>
      </c>
      <c r="B140" s="276" t="s">
        <v>386</v>
      </c>
      <c r="C140" s="277" t="s">
        <v>222</v>
      </c>
      <c r="D140" s="278" t="s">
        <v>401</v>
      </c>
      <c r="E140" s="303">
        <v>19430</v>
      </c>
      <c r="F140" s="269"/>
      <c r="G140" s="319">
        <f t="shared" si="43"/>
        <v>750</v>
      </c>
      <c r="H140" s="332">
        <v>800</v>
      </c>
      <c r="I140" s="364">
        <f>I$5</f>
        <v>558</v>
      </c>
      <c r="J140" s="372"/>
      <c r="K140" s="373"/>
      <c r="L140" s="264">
        <f t="shared" si="44"/>
        <v>2108</v>
      </c>
      <c r="M140" s="280">
        <f t="shared" si="42"/>
        <v>17322</v>
      </c>
      <c r="N140" s="335"/>
      <c r="O140" s="274"/>
    </row>
    <row r="141" spans="1:15" s="308" customFormat="1" ht="23.25" customHeight="1">
      <c r="A141" s="256">
        <v>111</v>
      </c>
      <c r="B141" s="276" t="s">
        <v>440</v>
      </c>
      <c r="C141" s="277" t="s">
        <v>441</v>
      </c>
      <c r="D141" s="278" t="s">
        <v>451</v>
      </c>
      <c r="E141" s="303">
        <v>18760</v>
      </c>
      <c r="F141" s="269"/>
      <c r="G141" s="319">
        <f t="shared" si="43"/>
        <v>750</v>
      </c>
      <c r="H141" s="270">
        <v>800</v>
      </c>
      <c r="I141" s="374"/>
      <c r="J141" s="272"/>
      <c r="K141" s="272"/>
      <c r="L141" s="264">
        <f t="shared" si="44"/>
        <v>1550</v>
      </c>
      <c r="M141" s="280">
        <f t="shared" si="42"/>
        <v>17210</v>
      </c>
      <c r="N141" s="306"/>
      <c r="O141" s="307"/>
    </row>
    <row r="142" spans="1:15" s="275" customFormat="1" ht="23.25" customHeight="1">
      <c r="A142" s="256">
        <v>112</v>
      </c>
      <c r="B142" s="257" t="s">
        <v>380</v>
      </c>
      <c r="C142" s="258" t="s">
        <v>441</v>
      </c>
      <c r="D142" s="268" t="s">
        <v>404</v>
      </c>
      <c r="E142" s="303">
        <v>18760</v>
      </c>
      <c r="F142" s="269"/>
      <c r="G142" s="319">
        <f t="shared" si="43"/>
        <v>750</v>
      </c>
      <c r="H142" s="270">
        <v>800</v>
      </c>
      <c r="I142" s="261"/>
      <c r="J142" s="282"/>
      <c r="K142" s="272"/>
      <c r="L142" s="264">
        <f t="shared" si="44"/>
        <v>1550</v>
      </c>
      <c r="M142" s="265">
        <f t="shared" si="42"/>
        <v>17210</v>
      </c>
      <c r="N142" s="335"/>
      <c r="O142" s="274"/>
    </row>
    <row r="143" spans="1:15" s="275" customFormat="1" ht="23.25" customHeight="1">
      <c r="A143" s="256">
        <v>113</v>
      </c>
      <c r="B143" s="276" t="s">
        <v>286</v>
      </c>
      <c r="C143" s="331" t="s">
        <v>218</v>
      </c>
      <c r="D143" s="278" t="s">
        <v>287</v>
      </c>
      <c r="E143" s="259">
        <v>19100</v>
      </c>
      <c r="F143" s="269"/>
      <c r="G143" s="319">
        <f t="shared" si="43"/>
        <v>750</v>
      </c>
      <c r="H143" s="270"/>
      <c r="I143" s="358"/>
      <c r="J143" s="271"/>
      <c r="K143" s="272"/>
      <c r="L143" s="264">
        <f t="shared" si="44"/>
        <v>750</v>
      </c>
      <c r="M143" s="280">
        <f t="shared" si="42"/>
        <v>18350</v>
      </c>
      <c r="N143" s="273"/>
      <c r="O143" s="274"/>
    </row>
    <row r="144" spans="1:15" ht="23.25" customHeight="1">
      <c r="A144" s="256">
        <v>114</v>
      </c>
      <c r="B144" s="276" t="s">
        <v>254</v>
      </c>
      <c r="C144" s="277" t="s">
        <v>218</v>
      </c>
      <c r="D144" s="278" t="s">
        <v>265</v>
      </c>
      <c r="E144" s="259">
        <v>19100</v>
      </c>
      <c r="F144" s="269"/>
      <c r="G144" s="319">
        <f>SUM(15000*5%)</f>
        <v>750</v>
      </c>
      <c r="H144" s="332">
        <v>900</v>
      </c>
      <c r="I144" s="375"/>
      <c r="J144" s="282"/>
      <c r="K144" s="272"/>
      <c r="L144" s="264">
        <f t="shared" si="44"/>
        <v>1650</v>
      </c>
      <c r="M144" s="280">
        <f t="shared" si="42"/>
        <v>17450</v>
      </c>
    </row>
    <row r="145" spans="1:15" s="275" customFormat="1" ht="23.25" customHeight="1">
      <c r="A145" s="256">
        <v>115</v>
      </c>
      <c r="B145" s="257" t="s">
        <v>570</v>
      </c>
      <c r="C145" s="258" t="s">
        <v>243</v>
      </c>
      <c r="D145" s="268" t="s">
        <v>317</v>
      </c>
      <c r="E145" s="259">
        <v>18900</v>
      </c>
      <c r="F145" s="269"/>
      <c r="G145" s="319">
        <f t="shared" si="43"/>
        <v>750</v>
      </c>
      <c r="H145" s="270">
        <v>11000</v>
      </c>
      <c r="I145" s="261"/>
      <c r="J145" s="271"/>
      <c r="K145" s="272"/>
      <c r="L145" s="264">
        <f t="shared" si="44"/>
        <v>11750</v>
      </c>
      <c r="M145" s="265">
        <f t="shared" si="42"/>
        <v>7150</v>
      </c>
      <c r="N145" s="273"/>
      <c r="O145" s="274"/>
    </row>
    <row r="146" spans="1:15" s="275" customFormat="1" ht="23.25" customHeight="1">
      <c r="A146" s="256">
        <v>116</v>
      </c>
      <c r="B146" s="276" t="s">
        <v>242</v>
      </c>
      <c r="C146" s="277" t="s">
        <v>243</v>
      </c>
      <c r="D146" s="278" t="s">
        <v>263</v>
      </c>
      <c r="E146" s="376">
        <v>19490</v>
      </c>
      <c r="F146" s="269"/>
      <c r="G146" s="319">
        <f t="shared" si="43"/>
        <v>750</v>
      </c>
      <c r="H146" s="378">
        <f>9817.25+3800</f>
        <v>13617.25</v>
      </c>
      <c r="I146" s="446">
        <f>I$5</f>
        <v>558</v>
      </c>
      <c r="J146" s="282">
        <f>J$5</f>
        <v>264</v>
      </c>
      <c r="K146" s="272"/>
      <c r="L146" s="264">
        <f t="shared" si="44"/>
        <v>15189.25</v>
      </c>
      <c r="M146" s="379">
        <f t="shared" si="42"/>
        <v>4300.75</v>
      </c>
      <c r="N146" s="291"/>
      <c r="O146" s="274"/>
    </row>
    <row r="147" spans="1:15" s="275" customFormat="1" ht="23.25" customHeight="1">
      <c r="A147" s="256">
        <v>117</v>
      </c>
      <c r="B147" s="257" t="s">
        <v>152</v>
      </c>
      <c r="C147" s="258" t="s">
        <v>359</v>
      </c>
      <c r="D147" s="268" t="s">
        <v>153</v>
      </c>
      <c r="E147" s="259">
        <v>20060</v>
      </c>
      <c r="F147" s="269"/>
      <c r="G147" s="319">
        <f t="shared" si="43"/>
        <v>750</v>
      </c>
      <c r="H147" s="289"/>
      <c r="I147" s="446">
        <f>I$5</f>
        <v>558</v>
      </c>
      <c r="J147" s="271"/>
      <c r="K147" s="272"/>
      <c r="L147" s="264">
        <f t="shared" si="44"/>
        <v>1308</v>
      </c>
      <c r="M147" s="265">
        <f t="shared" si="42"/>
        <v>18752</v>
      </c>
      <c r="N147" s="273"/>
      <c r="O147" s="274"/>
    </row>
    <row r="148" spans="1:15" s="275" customFormat="1" ht="23.25" customHeight="1">
      <c r="A148" s="256">
        <v>118</v>
      </c>
      <c r="B148" s="380" t="s">
        <v>214</v>
      </c>
      <c r="C148" s="258" t="s">
        <v>215</v>
      </c>
      <c r="D148" s="381" t="s">
        <v>259</v>
      </c>
      <c r="E148" s="321">
        <v>20110</v>
      </c>
      <c r="F148" s="269"/>
      <c r="G148" s="319">
        <f t="shared" si="43"/>
        <v>750</v>
      </c>
      <c r="H148" s="382"/>
      <c r="I148" s="446"/>
      <c r="J148" s="383"/>
      <c r="K148" s="384"/>
      <c r="L148" s="264">
        <f t="shared" si="44"/>
        <v>750</v>
      </c>
      <c r="M148" s="322">
        <f t="shared" si="42"/>
        <v>19360</v>
      </c>
      <c r="N148" s="291"/>
    </row>
    <row r="149" spans="1:15" s="275" customFormat="1" ht="23.25" customHeight="1">
      <c r="A149" s="256">
        <v>119</v>
      </c>
      <c r="B149" s="257" t="s">
        <v>601</v>
      </c>
      <c r="C149" s="258" t="s">
        <v>215</v>
      </c>
      <c r="D149" s="268" t="s">
        <v>260</v>
      </c>
      <c r="E149" s="321">
        <v>19990</v>
      </c>
      <c r="F149" s="269"/>
      <c r="G149" s="319">
        <f t="shared" si="43"/>
        <v>750</v>
      </c>
      <c r="H149" s="286">
        <f>6247.75+10400</f>
        <v>16647.75</v>
      </c>
      <c r="I149" s="446">
        <f>I$5</f>
        <v>558</v>
      </c>
      <c r="J149" s="282">
        <f>J$5</f>
        <v>264</v>
      </c>
      <c r="K149" s="272"/>
      <c r="L149" s="264">
        <f t="shared" si="44"/>
        <v>18219.75</v>
      </c>
      <c r="M149" s="322">
        <f t="shared" si="42"/>
        <v>1770.25</v>
      </c>
      <c r="N149" s="291"/>
      <c r="O149" s="274"/>
    </row>
    <row r="150" spans="1:15" ht="23.25" customHeight="1" thickBot="1">
      <c r="A150" s="310"/>
      <c r="B150" s="310" t="s">
        <v>4</v>
      </c>
      <c r="C150" s="342"/>
      <c r="D150" s="361"/>
      <c r="E150" s="386">
        <f>SUM(E125,E129:E149)</f>
        <v>2258270</v>
      </c>
      <c r="F150" s="386">
        <f>SUM(F125,F129:F149)</f>
        <v>0</v>
      </c>
      <c r="G150" s="386">
        <f>SUM(G125,G129:G149)-0.01</f>
        <v>88500</v>
      </c>
      <c r="H150" s="386">
        <f t="shared" ref="H150:M150" si="46">SUM(H125,H129:H149)</f>
        <v>624119.25</v>
      </c>
      <c r="I150" s="386">
        <f t="shared" si="46"/>
        <v>37944</v>
      </c>
      <c r="J150" s="386">
        <f t="shared" si="46"/>
        <v>3168</v>
      </c>
      <c r="K150" s="387">
        <f t="shared" ca="1" si="46"/>
        <v>0</v>
      </c>
      <c r="L150" s="386">
        <f t="shared" si="46"/>
        <v>753731.25</v>
      </c>
      <c r="M150" s="386">
        <f t="shared" si="46"/>
        <v>1504538.75</v>
      </c>
      <c r="N150" s="344"/>
      <c r="O150" s="267"/>
    </row>
    <row r="151" spans="1:15" s="318" customFormat="1" ht="20.25" customHeight="1" thickTop="1">
      <c r="A151" s="459">
        <v>7</v>
      </c>
      <c r="B151" s="459"/>
      <c r="C151" s="459"/>
      <c r="D151" s="459"/>
      <c r="E151" s="459"/>
      <c r="F151" s="459"/>
      <c r="G151" s="459"/>
      <c r="H151" s="459"/>
      <c r="I151" s="459"/>
      <c r="J151" s="459"/>
      <c r="K151" s="459"/>
      <c r="L151" s="459"/>
      <c r="M151" s="459"/>
      <c r="N151" s="316"/>
      <c r="O151" s="317"/>
    </row>
    <row r="152" spans="1:15" ht="23.25" customHeight="1">
      <c r="A152" s="460" t="s">
        <v>1</v>
      </c>
      <c r="B152" s="462" t="s">
        <v>2</v>
      </c>
      <c r="C152" s="460" t="s">
        <v>9</v>
      </c>
      <c r="D152" s="460" t="s">
        <v>10</v>
      </c>
      <c r="E152" s="465" t="s">
        <v>11</v>
      </c>
      <c r="F152" s="248"/>
      <c r="G152" s="467" t="s">
        <v>14</v>
      </c>
      <c r="H152" s="468"/>
      <c r="I152" s="468"/>
      <c r="J152" s="468"/>
      <c r="K152" s="469"/>
      <c r="L152" s="249" t="s">
        <v>6</v>
      </c>
      <c r="M152" s="249" t="s">
        <v>3</v>
      </c>
    </row>
    <row r="153" spans="1:15" ht="23.25" customHeight="1">
      <c r="A153" s="461"/>
      <c r="B153" s="463"/>
      <c r="C153" s="464"/>
      <c r="D153" s="464"/>
      <c r="E153" s="466"/>
      <c r="F153" s="250" t="s">
        <v>230</v>
      </c>
      <c r="G153" s="251" t="s">
        <v>12</v>
      </c>
      <c r="H153" s="252" t="s">
        <v>244</v>
      </c>
      <c r="I153" s="253" t="s">
        <v>7</v>
      </c>
      <c r="J153" s="253" t="s">
        <v>8</v>
      </c>
      <c r="K153" s="253"/>
      <c r="L153" s="254" t="s">
        <v>13</v>
      </c>
      <c r="M153" s="255" t="s">
        <v>184</v>
      </c>
    </row>
    <row r="154" spans="1:15" s="275" customFormat="1" ht="23.25" customHeight="1">
      <c r="A154" s="385">
        <v>120</v>
      </c>
      <c r="B154" s="257" t="s">
        <v>294</v>
      </c>
      <c r="C154" s="323" t="s">
        <v>295</v>
      </c>
      <c r="D154" s="268" t="s">
        <v>296</v>
      </c>
      <c r="E154" s="259">
        <v>19100</v>
      </c>
      <c r="F154" s="269"/>
      <c r="G154" s="260">
        <f>SUM(15000*5%)</f>
        <v>750</v>
      </c>
      <c r="H154" s="286">
        <f>6115.5+5000</f>
        <v>11115.5</v>
      </c>
      <c r="I154" s="261">
        <f>I$5</f>
        <v>558</v>
      </c>
      <c r="J154" s="262"/>
      <c r="K154" s="362"/>
      <c r="L154" s="264">
        <f t="shared" ref="L154" si="47">SUM(G154:K154)</f>
        <v>12423.5</v>
      </c>
      <c r="M154" s="265">
        <f t="shared" ref="M154" si="48">SUM(E154+F154-L154)</f>
        <v>6676.5</v>
      </c>
      <c r="N154" s="273"/>
      <c r="O154" s="274"/>
    </row>
    <row r="155" spans="1:15" s="275" customFormat="1" ht="23.25" customHeight="1">
      <c r="A155" s="256">
        <v>121</v>
      </c>
      <c r="B155" s="257" t="s">
        <v>216</v>
      </c>
      <c r="C155" s="258" t="s">
        <v>217</v>
      </c>
      <c r="D155" s="268" t="s">
        <v>264</v>
      </c>
      <c r="E155" s="321">
        <v>20000</v>
      </c>
      <c r="F155" s="288"/>
      <c r="G155" s="319">
        <f>SUM(15000*5%)</f>
        <v>750</v>
      </c>
      <c r="H155" s="286">
        <f>0+11200</f>
        <v>11200</v>
      </c>
      <c r="I155" s="261">
        <f>I$5</f>
        <v>558</v>
      </c>
      <c r="J155" s="271"/>
      <c r="K155" s="279"/>
      <c r="L155" s="322">
        <f>SUM(G155:K155)</f>
        <v>12508</v>
      </c>
      <c r="M155" s="322">
        <f t="shared" ref="M155:M169" si="49">SUM(E155+F155-L155)</f>
        <v>7492</v>
      </c>
      <c r="N155" s="273"/>
      <c r="O155" s="274"/>
    </row>
    <row r="156" spans="1:15" s="308" customFormat="1" ht="23.25" customHeight="1">
      <c r="A156" s="256">
        <v>122</v>
      </c>
      <c r="B156" s="257" t="s">
        <v>219</v>
      </c>
      <c r="C156" s="258" t="s">
        <v>220</v>
      </c>
      <c r="D156" s="268" t="s">
        <v>261</v>
      </c>
      <c r="E156" s="321">
        <v>20100</v>
      </c>
      <c r="F156" s="288"/>
      <c r="G156" s="319">
        <f t="shared" ref="G156:G168" si="50">SUM(15000*5%)</f>
        <v>750</v>
      </c>
      <c r="H156" s="281">
        <f>0+6200</f>
        <v>6200</v>
      </c>
      <c r="I156" s="261">
        <f>I$5</f>
        <v>558</v>
      </c>
      <c r="J156" s="271"/>
      <c r="K156" s="272"/>
      <c r="L156" s="322">
        <f>SUM(G156:K156)</f>
        <v>7508</v>
      </c>
      <c r="M156" s="280">
        <f t="shared" si="49"/>
        <v>12592</v>
      </c>
      <c r="N156" s="337"/>
      <c r="O156" s="307"/>
    </row>
    <row r="157" spans="1:15" s="275" customFormat="1" ht="23.25" customHeight="1">
      <c r="A157" s="256">
        <v>123</v>
      </c>
      <c r="B157" s="257" t="s">
        <v>524</v>
      </c>
      <c r="C157" s="258" t="s">
        <v>138</v>
      </c>
      <c r="D157" s="268" t="s">
        <v>457</v>
      </c>
      <c r="E157" s="259">
        <v>18860</v>
      </c>
      <c r="F157" s="288"/>
      <c r="G157" s="319">
        <f t="shared" si="50"/>
        <v>750</v>
      </c>
      <c r="H157" s="270">
        <v>1300</v>
      </c>
      <c r="I157" s="261"/>
      <c r="J157" s="272"/>
      <c r="K157" s="279"/>
      <c r="L157" s="322">
        <f t="shared" ref="L157:L169" si="51">SUM(G157:K157)</f>
        <v>2050</v>
      </c>
      <c r="M157" s="265">
        <f t="shared" si="49"/>
        <v>16810</v>
      </c>
      <c r="N157" s="273"/>
      <c r="O157" s="274"/>
    </row>
    <row r="158" spans="1:15" ht="23.25" customHeight="1">
      <c r="A158" s="256">
        <v>124</v>
      </c>
      <c r="B158" s="292" t="s">
        <v>137</v>
      </c>
      <c r="C158" s="327" t="s">
        <v>138</v>
      </c>
      <c r="D158" s="294" t="s">
        <v>139</v>
      </c>
      <c r="E158" s="295">
        <v>20170</v>
      </c>
      <c r="F158" s="288"/>
      <c r="G158" s="319">
        <f t="shared" si="50"/>
        <v>750</v>
      </c>
      <c r="H158" s="296">
        <v>1000</v>
      </c>
      <c r="I158" s="261"/>
      <c r="J158" s="297"/>
      <c r="K158" s="279"/>
      <c r="L158" s="322">
        <f t="shared" si="51"/>
        <v>1750</v>
      </c>
      <c r="M158" s="330">
        <f t="shared" si="49"/>
        <v>18420</v>
      </c>
      <c r="N158" s="266"/>
      <c r="O158" s="267"/>
    </row>
    <row r="159" spans="1:15" ht="23.25" customHeight="1">
      <c r="A159" s="256">
        <v>125</v>
      </c>
      <c r="B159" s="257" t="s">
        <v>584</v>
      </c>
      <c r="C159" s="258" t="s">
        <v>428</v>
      </c>
      <c r="D159" s="268" t="s">
        <v>339</v>
      </c>
      <c r="E159" s="259">
        <v>19010</v>
      </c>
      <c r="F159" s="288"/>
      <c r="G159" s="319">
        <f t="shared" si="50"/>
        <v>750</v>
      </c>
      <c r="H159" s="270">
        <v>3500</v>
      </c>
      <c r="I159" s="261">
        <f t="shared" ref="I159" si="52">I$5</f>
        <v>558</v>
      </c>
      <c r="J159" s="262"/>
      <c r="K159" s="263"/>
      <c r="L159" s="322">
        <f t="shared" si="51"/>
        <v>4808</v>
      </c>
      <c r="M159" s="265">
        <f t="shared" si="49"/>
        <v>14202</v>
      </c>
      <c r="N159" s="389"/>
      <c r="O159" s="267"/>
    </row>
    <row r="160" spans="1:15" s="308" customFormat="1" ht="23.25" customHeight="1">
      <c r="A160" s="256">
        <v>126</v>
      </c>
      <c r="B160" s="257" t="s">
        <v>452</v>
      </c>
      <c r="C160" s="258" t="s">
        <v>453</v>
      </c>
      <c r="D160" s="268" t="s">
        <v>454</v>
      </c>
      <c r="E160" s="259">
        <v>18720</v>
      </c>
      <c r="F160" s="288"/>
      <c r="G160" s="319">
        <f t="shared" si="50"/>
        <v>750</v>
      </c>
      <c r="H160" s="289"/>
      <c r="I160" s="304"/>
      <c r="J160" s="262"/>
      <c r="K160" s="299"/>
      <c r="L160" s="322">
        <f t="shared" si="51"/>
        <v>750</v>
      </c>
      <c r="M160" s="265">
        <f t="shared" si="49"/>
        <v>17970</v>
      </c>
      <c r="N160" s="337"/>
      <c r="O160" s="307"/>
    </row>
    <row r="161" spans="1:15" s="275" customFormat="1" ht="23.25" customHeight="1">
      <c r="A161" s="256">
        <v>127</v>
      </c>
      <c r="B161" s="257" t="s">
        <v>442</v>
      </c>
      <c r="C161" s="258" t="s">
        <v>443</v>
      </c>
      <c r="D161" s="268" t="s">
        <v>447</v>
      </c>
      <c r="E161" s="259">
        <v>18720</v>
      </c>
      <c r="F161" s="288"/>
      <c r="G161" s="319">
        <f t="shared" si="50"/>
        <v>750</v>
      </c>
      <c r="H161" s="270">
        <v>6963</v>
      </c>
      <c r="I161" s="261"/>
      <c r="J161" s="272"/>
      <c r="K161" s="272"/>
      <c r="L161" s="322">
        <f t="shared" si="51"/>
        <v>7713</v>
      </c>
      <c r="M161" s="280">
        <f t="shared" si="49"/>
        <v>11007</v>
      </c>
      <c r="N161" s="273"/>
      <c r="O161" s="274"/>
    </row>
    <row r="162" spans="1:15" s="275" customFormat="1" ht="23.25" customHeight="1">
      <c r="A162" s="256">
        <v>128</v>
      </c>
      <c r="B162" s="292" t="s">
        <v>17</v>
      </c>
      <c r="C162" s="327" t="s">
        <v>443</v>
      </c>
      <c r="D162" s="294" t="s">
        <v>19</v>
      </c>
      <c r="E162" s="390">
        <v>19810</v>
      </c>
      <c r="F162" s="288"/>
      <c r="G162" s="319">
        <f t="shared" si="50"/>
        <v>750</v>
      </c>
      <c r="H162" s="296">
        <v>6000</v>
      </c>
      <c r="I162" s="261"/>
      <c r="J162" s="297"/>
      <c r="K162" s="279"/>
      <c r="L162" s="322">
        <f t="shared" si="51"/>
        <v>6750</v>
      </c>
      <c r="M162" s="280">
        <f t="shared" si="49"/>
        <v>13060</v>
      </c>
      <c r="N162" s="273"/>
      <c r="O162" s="274"/>
    </row>
    <row r="163" spans="1:15" s="275" customFormat="1" ht="23.25" customHeight="1">
      <c r="A163" s="256">
        <v>129</v>
      </c>
      <c r="B163" s="292" t="s">
        <v>545</v>
      </c>
      <c r="C163" s="327" t="s">
        <v>443</v>
      </c>
      <c r="D163" s="294" t="s">
        <v>546</v>
      </c>
      <c r="E163" s="321">
        <v>18450</v>
      </c>
      <c r="F163" s="288"/>
      <c r="G163" s="319">
        <f t="shared" si="50"/>
        <v>750</v>
      </c>
      <c r="H163" s="439">
        <f>6973+3800</f>
        <v>10773</v>
      </c>
      <c r="I163" s="261">
        <f>I$5</f>
        <v>558</v>
      </c>
      <c r="J163" s="297"/>
      <c r="K163" s="279"/>
      <c r="L163" s="322">
        <f>SUM(G163:K163)</f>
        <v>12081</v>
      </c>
      <c r="M163" s="280">
        <f>SUM(E163+F163-L163)</f>
        <v>6369</v>
      </c>
      <c r="N163" s="273"/>
      <c r="O163" s="274"/>
    </row>
    <row r="164" spans="1:15" s="275" customFormat="1" ht="23.25" customHeight="1">
      <c r="A164" s="256">
        <v>130</v>
      </c>
      <c r="B164" s="257" t="s">
        <v>87</v>
      </c>
      <c r="C164" s="258" t="s">
        <v>427</v>
      </c>
      <c r="D164" s="268" t="s">
        <v>89</v>
      </c>
      <c r="E164" s="259">
        <v>19750</v>
      </c>
      <c r="F164" s="288"/>
      <c r="G164" s="319">
        <f>SUM(15000*5%)</f>
        <v>750</v>
      </c>
      <c r="H164" s="281">
        <f>8061.75+7500</f>
        <v>15561.75</v>
      </c>
      <c r="I164" s="261">
        <f t="shared" ref="I164:I166" si="53">I$5</f>
        <v>558</v>
      </c>
      <c r="J164" s="271"/>
      <c r="K164" s="272"/>
      <c r="L164" s="322">
        <f t="shared" si="51"/>
        <v>16869.75</v>
      </c>
      <c r="M164" s="265">
        <f t="shared" si="49"/>
        <v>2880.25</v>
      </c>
      <c r="N164" s="291"/>
      <c r="O164" s="274"/>
    </row>
    <row r="165" spans="1:15" s="275" customFormat="1" ht="23.25" customHeight="1">
      <c r="A165" s="256">
        <v>131</v>
      </c>
      <c r="B165" s="257" t="s">
        <v>462</v>
      </c>
      <c r="C165" s="258" t="s">
        <v>21</v>
      </c>
      <c r="D165" s="268" t="s">
        <v>466</v>
      </c>
      <c r="E165" s="321">
        <v>18490</v>
      </c>
      <c r="F165" s="288"/>
      <c r="G165" s="319">
        <f t="shared" si="50"/>
        <v>750</v>
      </c>
      <c r="H165" s="270"/>
      <c r="I165" s="261"/>
      <c r="J165" s="271"/>
      <c r="K165" s="272"/>
      <c r="L165" s="322">
        <f t="shared" si="51"/>
        <v>750</v>
      </c>
      <c r="M165" s="280">
        <f t="shared" si="49"/>
        <v>17740</v>
      </c>
      <c r="N165" s="291"/>
      <c r="O165" s="274"/>
    </row>
    <row r="166" spans="1:15" ht="23.25" customHeight="1">
      <c r="A166" s="256">
        <v>132</v>
      </c>
      <c r="B166" s="292" t="s">
        <v>15</v>
      </c>
      <c r="C166" s="327" t="s">
        <v>426</v>
      </c>
      <c r="D166" s="294" t="s">
        <v>16</v>
      </c>
      <c r="E166" s="321">
        <v>19710</v>
      </c>
      <c r="F166" s="288"/>
      <c r="G166" s="319">
        <f t="shared" si="50"/>
        <v>750</v>
      </c>
      <c r="H166" s="296">
        <v>9148.5</v>
      </c>
      <c r="I166" s="261">
        <f t="shared" si="53"/>
        <v>558</v>
      </c>
      <c r="J166" s="297"/>
      <c r="K166" s="279"/>
      <c r="L166" s="322">
        <f t="shared" si="51"/>
        <v>10456.5</v>
      </c>
      <c r="M166" s="280">
        <f t="shared" si="49"/>
        <v>9253.5</v>
      </c>
      <c r="N166" s="266"/>
      <c r="O166" s="267"/>
    </row>
    <row r="167" spans="1:15" s="308" customFormat="1" ht="23.25" customHeight="1">
      <c r="A167" s="256">
        <v>133</v>
      </c>
      <c r="B167" s="276" t="s">
        <v>393</v>
      </c>
      <c r="C167" s="277" t="s">
        <v>433</v>
      </c>
      <c r="D167" s="278" t="s">
        <v>402</v>
      </c>
      <c r="E167" s="303">
        <v>18760</v>
      </c>
      <c r="F167" s="288"/>
      <c r="G167" s="319">
        <f t="shared" si="50"/>
        <v>750</v>
      </c>
      <c r="H167" s="332"/>
      <c r="I167" s="391"/>
      <c r="J167" s="298"/>
      <c r="K167" s="299"/>
      <c r="L167" s="322">
        <f t="shared" si="51"/>
        <v>750</v>
      </c>
      <c r="M167" s="372">
        <f t="shared" si="49"/>
        <v>18010</v>
      </c>
      <c r="N167" s="392"/>
      <c r="O167" s="307"/>
    </row>
    <row r="168" spans="1:15" s="308" customFormat="1" ht="23.25" customHeight="1">
      <c r="A168" s="256">
        <v>134</v>
      </c>
      <c r="B168" s="257" t="s">
        <v>438</v>
      </c>
      <c r="C168" s="258" t="s">
        <v>439</v>
      </c>
      <c r="D168" s="268" t="s">
        <v>445</v>
      </c>
      <c r="E168" s="259">
        <v>18760</v>
      </c>
      <c r="F168" s="288"/>
      <c r="G168" s="319">
        <f t="shared" si="50"/>
        <v>750</v>
      </c>
      <c r="H168" s="286">
        <f>4615.25+3800</f>
        <v>8415.25</v>
      </c>
      <c r="I168" s="336"/>
      <c r="J168" s="272"/>
      <c r="K168" s="272"/>
      <c r="L168" s="322">
        <f t="shared" si="51"/>
        <v>9165.25</v>
      </c>
      <c r="M168" s="265">
        <f t="shared" si="49"/>
        <v>9594.75</v>
      </c>
      <c r="N168" s="430"/>
      <c r="O168" s="307"/>
    </row>
    <row r="169" spans="1:15" ht="23.25" customHeight="1">
      <c r="A169" s="256"/>
      <c r="B169" s="393"/>
      <c r="C169" s="394"/>
      <c r="D169" s="395"/>
      <c r="E169" s="396"/>
      <c r="F169" s="377"/>
      <c r="G169" s="397"/>
      <c r="H169" s="398"/>
      <c r="I169" s="399"/>
      <c r="J169" s="365"/>
      <c r="K169" s="333"/>
      <c r="L169" s="280">
        <f t="shared" si="51"/>
        <v>0</v>
      </c>
      <c r="M169" s="265">
        <f t="shared" si="49"/>
        <v>0</v>
      </c>
      <c r="N169" s="344"/>
      <c r="O169" s="267"/>
    </row>
    <row r="170" spans="1:15" ht="21.75" thickBot="1">
      <c r="A170" s="310"/>
      <c r="B170" s="310" t="s">
        <v>5</v>
      </c>
      <c r="C170" s="342"/>
      <c r="D170" s="361"/>
      <c r="E170" s="386">
        <f t="shared" ref="E170:M170" si="54">SUM(E150,E154:E169)</f>
        <v>2546680</v>
      </c>
      <c r="F170" s="386">
        <f t="shared" si="54"/>
        <v>0</v>
      </c>
      <c r="G170" s="386">
        <f t="shared" si="54"/>
        <v>99750</v>
      </c>
      <c r="H170" s="386">
        <f t="shared" si="54"/>
        <v>715296.25</v>
      </c>
      <c r="I170" s="386">
        <f t="shared" si="54"/>
        <v>41850</v>
      </c>
      <c r="J170" s="386">
        <f t="shared" si="54"/>
        <v>3168</v>
      </c>
      <c r="K170" s="386">
        <f t="shared" ca="1" si="54"/>
        <v>0</v>
      </c>
      <c r="L170" s="386">
        <f t="shared" si="54"/>
        <v>860064.25</v>
      </c>
      <c r="M170" s="386">
        <f t="shared" si="54"/>
        <v>1686615.75</v>
      </c>
    </row>
    <row r="171" spans="1:15" ht="21.75" thickTop="1">
      <c r="A171" s="400" t="s">
        <v>207</v>
      </c>
      <c r="C171" s="227" t="str">
        <f>BAHTTEXT(M170)</f>
        <v>หนึ่งล้านหกแสนแปดหมื่นหกพันหกร้อยสิบห้าบาทเจ็ดสิบห้าสตางค์</v>
      </c>
    </row>
    <row r="172" spans="1:15">
      <c r="A172" s="400" t="s">
        <v>208</v>
      </c>
      <c r="I172" s="401" t="str">
        <f>M3</f>
        <v>25 เมษายน 2557</v>
      </c>
    </row>
    <row r="173" spans="1:15">
      <c r="A173" s="400" t="s">
        <v>210</v>
      </c>
      <c r="C173" s="402">
        <f>M170</f>
        <v>1686615.75</v>
      </c>
      <c r="D173" s="227" t="s">
        <v>211</v>
      </c>
      <c r="E173" s="227" t="str">
        <f>BAHTTEXT(C173)</f>
        <v>หนึ่งล้านหกแสนแปดหมื่นหกพันหกร้อยสิบห้าบาทเจ็ดสิบห้าสตางค์</v>
      </c>
    </row>
    <row r="174" spans="1:15">
      <c r="A174" s="400" t="s">
        <v>603</v>
      </c>
    </row>
    <row r="175" spans="1:15">
      <c r="A175" s="400"/>
      <c r="F175" s="227" t="s">
        <v>212</v>
      </c>
    </row>
    <row r="176" spans="1:15">
      <c r="A176" s="400"/>
      <c r="F176" s="227" t="s">
        <v>213</v>
      </c>
    </row>
    <row r="177" spans="1:11">
      <c r="A177" s="400"/>
    </row>
    <row r="178" spans="1:11">
      <c r="A178" s="400"/>
      <c r="B178" s="403"/>
      <c r="C178" s="403"/>
      <c r="D178" s="403"/>
      <c r="E178" s="404">
        <f>SUM(E179:E182)-E183</f>
        <v>2546680</v>
      </c>
      <c r="F178" s="405">
        <f>SUM(F179:F180)</f>
        <v>0</v>
      </c>
      <c r="G178" s="422">
        <f>SUM(G179:G182)-G183</f>
        <v>99750</v>
      </c>
      <c r="H178" s="423">
        <f>SUM(H179:H183)</f>
        <v>715296.25</v>
      </c>
      <c r="I178" s="406">
        <f>SUM(I179:I180)</f>
        <v>41850</v>
      </c>
      <c r="J178" s="409">
        <v>3168</v>
      </c>
    </row>
    <row r="179" spans="1:11">
      <c r="A179" s="400"/>
      <c r="B179" s="403"/>
      <c r="C179" s="403"/>
      <c r="D179" s="403"/>
      <c r="E179" s="407">
        <v>2546680</v>
      </c>
      <c r="F179" s="407"/>
      <c r="G179" s="422">
        <v>99750</v>
      </c>
      <c r="H179" s="423">
        <v>344100</v>
      </c>
      <c r="I179" s="406">
        <v>41850</v>
      </c>
    </row>
    <row r="180" spans="1:11">
      <c r="B180" s="403"/>
      <c r="C180" s="403"/>
      <c r="D180" s="403"/>
      <c r="E180" s="407"/>
      <c r="F180" s="408"/>
      <c r="G180" s="422"/>
      <c r="H180" s="423">
        <v>371196.25</v>
      </c>
      <c r="I180" s="409"/>
      <c r="J180" s="410"/>
      <c r="K180" s="410"/>
    </row>
    <row r="181" spans="1:11">
      <c r="B181" s="403"/>
      <c r="C181" s="403"/>
      <c r="D181" s="403"/>
      <c r="E181" s="407"/>
      <c r="F181" s="408"/>
      <c r="G181" s="422"/>
      <c r="H181" s="423"/>
      <c r="I181" s="409"/>
      <c r="J181" s="410"/>
      <c r="K181" s="410"/>
    </row>
    <row r="182" spans="1:11">
      <c r="B182" s="403"/>
      <c r="C182" s="403"/>
      <c r="D182" s="403"/>
      <c r="E182" s="407"/>
      <c r="F182" s="408"/>
      <c r="G182" s="422"/>
      <c r="H182" s="423"/>
      <c r="I182" s="409"/>
      <c r="J182" s="410"/>
      <c r="K182" s="410"/>
    </row>
    <row r="183" spans="1:11">
      <c r="B183" s="403"/>
      <c r="C183" s="403" t="s">
        <v>563</v>
      </c>
      <c r="D183" s="433"/>
      <c r="E183" s="407"/>
      <c r="F183" s="403"/>
      <c r="G183" s="422"/>
    </row>
  </sheetData>
  <mergeCells count="48">
    <mergeCell ref="A151:M151"/>
    <mergeCell ref="A152:A153"/>
    <mergeCell ref="B152:B153"/>
    <mergeCell ref="C152:C153"/>
    <mergeCell ref="D152:D153"/>
    <mergeCell ref="E152:E153"/>
    <mergeCell ref="G152:K152"/>
    <mergeCell ref="A126:M126"/>
    <mergeCell ref="A127:A128"/>
    <mergeCell ref="B127:B128"/>
    <mergeCell ref="C127:C128"/>
    <mergeCell ref="D127:D128"/>
    <mergeCell ref="E127:E128"/>
    <mergeCell ref="G127:K127"/>
    <mergeCell ref="A76:M76"/>
    <mergeCell ref="A77:A78"/>
    <mergeCell ref="B77:B78"/>
    <mergeCell ref="C77:C78"/>
    <mergeCell ref="D77:D78"/>
    <mergeCell ref="E77:E78"/>
    <mergeCell ref="G77:K77"/>
    <mergeCell ref="A51:M51"/>
    <mergeCell ref="A52:A53"/>
    <mergeCell ref="B52:B53"/>
    <mergeCell ref="C52:C53"/>
    <mergeCell ref="D52:D53"/>
    <mergeCell ref="E52:E53"/>
    <mergeCell ref="G52:K52"/>
    <mergeCell ref="G6:K6"/>
    <mergeCell ref="A26:M26"/>
    <mergeCell ref="A27:A28"/>
    <mergeCell ref="B27:B28"/>
    <mergeCell ref="C27:C28"/>
    <mergeCell ref="D27:D28"/>
    <mergeCell ref="E27:E28"/>
    <mergeCell ref="G27:K27"/>
    <mergeCell ref="A6:A7"/>
    <mergeCell ref="B6:B7"/>
    <mergeCell ref="C6:C7"/>
    <mergeCell ref="D6:D7"/>
    <mergeCell ref="E6:E7"/>
    <mergeCell ref="A101:M101"/>
    <mergeCell ref="A102:A103"/>
    <mergeCell ref="B102:B103"/>
    <mergeCell ref="C102:C103"/>
    <mergeCell ref="D102:D103"/>
    <mergeCell ref="E102:E103"/>
    <mergeCell ref="G102:K102"/>
  </mergeCells>
  <pageMargins left="0.196850393700787" right="0.196850393700787" top="0.196850393700787" bottom="0" header="0.511811023622047" footer="0.51181102362204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"/>
  <sheetViews>
    <sheetView view="pageBreakPreview" topLeftCell="B1" zoomScaleNormal="100" workbookViewId="0">
      <selection activeCell="C25" sqref="C25"/>
    </sheetView>
  </sheetViews>
  <sheetFormatPr defaultColWidth="11" defaultRowHeight="23.25"/>
  <cols>
    <col min="1" max="1" width="5.140625" style="3" customWidth="1"/>
    <col min="2" max="2" width="20.85546875" style="1" customWidth="1"/>
    <col min="3" max="3" width="15.28515625" style="1" customWidth="1"/>
    <col min="4" max="4" width="14.28515625" style="1" customWidth="1"/>
    <col min="5" max="5" width="13.28515625" style="2" customWidth="1"/>
    <col min="6" max="6" width="6.7109375" style="1" customWidth="1"/>
    <col min="7" max="7" width="12.28515625" style="27" customWidth="1"/>
    <col min="8" max="8" width="11.85546875" style="97" customWidth="1"/>
    <col min="9" max="9" width="11" style="1" customWidth="1"/>
    <col min="10" max="10" width="7.42578125" style="1" customWidth="1"/>
    <col min="11" max="11" width="12.28515625" style="1" customWidth="1"/>
    <col min="12" max="12" width="16.28515625" style="1" customWidth="1"/>
    <col min="13" max="14" width="11.28515625" style="1" bestFit="1" customWidth="1"/>
    <col min="15" max="16384" width="11" style="1"/>
  </cols>
  <sheetData>
    <row r="1" spans="1:14" ht="23.25" customHeight="1">
      <c r="A1" s="4" t="s">
        <v>185</v>
      </c>
      <c r="E1" s="65" t="s">
        <v>186</v>
      </c>
    </row>
    <row r="2" spans="1:14" ht="23.25" customHeight="1">
      <c r="A2" s="4"/>
      <c r="E2" s="66"/>
    </row>
    <row r="3" spans="1:14" ht="23.25" customHeight="1">
      <c r="A3" s="5" t="s">
        <v>187</v>
      </c>
      <c r="F3" s="5" t="s">
        <v>183</v>
      </c>
      <c r="G3" s="28"/>
      <c r="I3" s="4"/>
    </row>
    <row r="4" spans="1:14" ht="23.25" customHeight="1">
      <c r="A4" s="5" t="s">
        <v>188</v>
      </c>
      <c r="F4" s="5" t="s">
        <v>209</v>
      </c>
      <c r="G4" s="28"/>
      <c r="I4" s="5"/>
      <c r="J4" s="5"/>
      <c r="K4" s="5"/>
      <c r="L4" s="153" t="s">
        <v>369</v>
      </c>
    </row>
    <row r="5" spans="1:14" ht="23.25" customHeight="1">
      <c r="A5" s="5" t="s">
        <v>189</v>
      </c>
      <c r="F5" s="1" t="s">
        <v>370</v>
      </c>
      <c r="G5" s="29"/>
      <c r="H5" s="83" t="s">
        <v>0</v>
      </c>
      <c r="K5" s="3"/>
    </row>
    <row r="6" spans="1:14" ht="23.25" customHeight="1">
      <c r="A6" s="4"/>
      <c r="G6" s="219" t="s">
        <v>416</v>
      </c>
      <c r="H6" s="220"/>
      <c r="I6" s="221"/>
      <c r="J6" s="222"/>
      <c r="K6" s="222"/>
      <c r="L6" s="222"/>
    </row>
    <row r="7" spans="1:14" ht="23.25" customHeight="1">
      <c r="A7" s="449" t="s">
        <v>1</v>
      </c>
      <c r="B7" s="451" t="s">
        <v>2</v>
      </c>
      <c r="C7" s="449" t="s">
        <v>9</v>
      </c>
      <c r="D7" s="449" t="s">
        <v>10</v>
      </c>
      <c r="E7" s="454" t="s">
        <v>11</v>
      </c>
      <c r="F7" s="103" t="s">
        <v>230</v>
      </c>
      <c r="G7" s="456" t="s">
        <v>14</v>
      </c>
      <c r="H7" s="457"/>
      <c r="I7" s="457"/>
      <c r="J7" s="458"/>
      <c r="K7" s="6" t="s">
        <v>6</v>
      </c>
      <c r="L7" s="6" t="s">
        <v>3</v>
      </c>
    </row>
    <row r="8" spans="1:14" ht="23.25" customHeight="1">
      <c r="A8" s="450"/>
      <c r="B8" s="452"/>
      <c r="C8" s="453"/>
      <c r="D8" s="453"/>
      <c r="E8" s="455"/>
      <c r="F8" s="104" t="s">
        <v>237</v>
      </c>
      <c r="G8" s="30" t="s">
        <v>12</v>
      </c>
      <c r="H8" s="116" t="s">
        <v>244</v>
      </c>
      <c r="I8" s="8" t="s">
        <v>7</v>
      </c>
      <c r="J8" s="33" t="s">
        <v>8</v>
      </c>
      <c r="K8" s="7" t="s">
        <v>13</v>
      </c>
      <c r="L8" s="9" t="s">
        <v>184</v>
      </c>
    </row>
    <row r="9" spans="1:14" ht="23.25" customHeight="1">
      <c r="A9" s="42">
        <v>1</v>
      </c>
      <c r="B9" s="41" t="s">
        <v>250</v>
      </c>
      <c r="C9" s="80" t="s">
        <v>18</v>
      </c>
      <c r="D9" s="87" t="s">
        <v>96</v>
      </c>
      <c r="E9" s="69">
        <v>3900</v>
      </c>
      <c r="F9" s="10"/>
      <c r="G9" s="51">
        <f>SUM(E9*5%)+(F9*5%)</f>
        <v>195</v>
      </c>
      <c r="H9" s="101"/>
      <c r="I9" s="133"/>
      <c r="J9" s="12"/>
      <c r="K9" s="57">
        <f t="shared" ref="K9:K24" si="0">SUM(G9:J9)</f>
        <v>195</v>
      </c>
      <c r="L9" s="47">
        <f t="shared" ref="L9:L24" si="1">SUM(E9+F9-K9)</f>
        <v>3705</v>
      </c>
      <c r="M9" s="24"/>
      <c r="N9" s="23"/>
    </row>
    <row r="10" spans="1:14" ht="23.25" customHeight="1">
      <c r="A10" s="42">
        <v>2</v>
      </c>
      <c r="B10" s="41" t="s">
        <v>97</v>
      </c>
      <c r="C10" s="80" t="s">
        <v>18</v>
      </c>
      <c r="D10" s="87" t="s">
        <v>98</v>
      </c>
      <c r="E10" s="69">
        <v>3900</v>
      </c>
      <c r="F10" s="10"/>
      <c r="G10" s="51">
        <f>SUM(E10*5%)+(F10*5%)</f>
        <v>195</v>
      </c>
      <c r="H10" s="88"/>
      <c r="I10" s="133"/>
      <c r="J10" s="12"/>
      <c r="K10" s="57">
        <f t="shared" si="0"/>
        <v>195</v>
      </c>
      <c r="L10" s="47">
        <f t="shared" si="1"/>
        <v>3705</v>
      </c>
      <c r="M10" s="24"/>
      <c r="N10" s="23"/>
    </row>
    <row r="11" spans="1:14" s="32" customFormat="1" ht="23.25" customHeight="1">
      <c r="A11" s="42">
        <v>3</v>
      </c>
      <c r="B11" s="36" t="s">
        <v>17</v>
      </c>
      <c r="C11" s="79" t="s">
        <v>18</v>
      </c>
      <c r="D11" s="62" t="s">
        <v>19</v>
      </c>
      <c r="E11" s="129">
        <v>3660</v>
      </c>
      <c r="F11" s="37"/>
      <c r="G11" s="75">
        <f>SUM(E11*5%)+(F11*5%)</f>
        <v>183</v>
      </c>
      <c r="H11" s="58"/>
      <c r="I11" s="132"/>
      <c r="J11" s="56"/>
      <c r="K11" s="76">
        <f t="shared" si="0"/>
        <v>183</v>
      </c>
      <c r="L11" s="77">
        <f t="shared" si="1"/>
        <v>3477</v>
      </c>
      <c r="M11" s="39"/>
      <c r="N11" s="40"/>
    </row>
    <row r="12" spans="1:14" s="32" customFormat="1" ht="23.25" customHeight="1">
      <c r="A12" s="42">
        <v>4</v>
      </c>
      <c r="B12" s="36" t="s">
        <v>251</v>
      </c>
      <c r="C12" s="84" t="s">
        <v>323</v>
      </c>
      <c r="D12" s="62" t="s">
        <v>27</v>
      </c>
      <c r="E12" s="67">
        <v>3540</v>
      </c>
      <c r="F12" s="37"/>
      <c r="G12" s="75">
        <f t="shared" ref="G12:G23" si="2">SUM(E12*5%)+(F12*5%)</f>
        <v>177</v>
      </c>
      <c r="H12" s="58"/>
      <c r="I12" s="134"/>
      <c r="J12" s="56"/>
      <c r="K12" s="38">
        <f t="shared" si="0"/>
        <v>177</v>
      </c>
      <c r="L12" s="47">
        <f t="shared" si="1"/>
        <v>3363</v>
      </c>
      <c r="M12" s="39"/>
      <c r="N12" s="40"/>
    </row>
    <row r="13" spans="1:14" ht="23.25" customHeight="1">
      <c r="A13" s="42">
        <v>5</v>
      </c>
      <c r="B13" s="49" t="s">
        <v>345</v>
      </c>
      <c r="C13" s="81" t="s">
        <v>346</v>
      </c>
      <c r="D13" s="82" t="s">
        <v>347</v>
      </c>
      <c r="E13" s="69">
        <v>1440</v>
      </c>
      <c r="F13" s="10"/>
      <c r="G13" s="75"/>
      <c r="H13" s="16"/>
      <c r="I13" s="133"/>
      <c r="J13" s="17"/>
      <c r="K13" s="57">
        <f t="shared" si="0"/>
        <v>0</v>
      </c>
      <c r="L13" s="47">
        <f t="shared" si="1"/>
        <v>1440</v>
      </c>
      <c r="M13" s="39"/>
      <c r="N13" s="23"/>
    </row>
    <row r="14" spans="1:14" s="32" customFormat="1" ht="23.25" customHeight="1">
      <c r="A14" s="42">
        <v>6</v>
      </c>
      <c r="B14" s="41" t="s">
        <v>363</v>
      </c>
      <c r="C14" s="80" t="s">
        <v>203</v>
      </c>
      <c r="D14" s="63" t="s">
        <v>205</v>
      </c>
      <c r="E14" s="69">
        <v>3360</v>
      </c>
      <c r="F14" s="37"/>
      <c r="G14" s="75">
        <f t="shared" si="2"/>
        <v>168</v>
      </c>
      <c r="H14" s="206"/>
      <c r="I14" s="133"/>
      <c r="J14" s="52"/>
      <c r="K14" s="57">
        <f t="shared" si="0"/>
        <v>168</v>
      </c>
      <c r="L14" s="47">
        <f t="shared" si="1"/>
        <v>3192</v>
      </c>
      <c r="M14" s="39"/>
      <c r="N14" s="40"/>
    </row>
    <row r="15" spans="1:14" s="32" customFormat="1" ht="23.25" customHeight="1">
      <c r="A15" s="42">
        <v>7</v>
      </c>
      <c r="B15" s="41" t="s">
        <v>140</v>
      </c>
      <c r="C15" s="80" t="s">
        <v>141</v>
      </c>
      <c r="D15" s="63" t="s">
        <v>142</v>
      </c>
      <c r="E15" s="69">
        <v>3840</v>
      </c>
      <c r="F15" s="37"/>
      <c r="G15" s="75">
        <f t="shared" si="2"/>
        <v>192</v>
      </c>
      <c r="H15" s="59"/>
      <c r="I15" s="133"/>
      <c r="J15" s="46"/>
      <c r="K15" s="57">
        <f t="shared" si="0"/>
        <v>192</v>
      </c>
      <c r="L15" s="47">
        <f t="shared" si="1"/>
        <v>3648</v>
      </c>
      <c r="M15" s="39"/>
      <c r="N15" s="40"/>
    </row>
    <row r="16" spans="1:14" s="32" customFormat="1" ht="23.25" customHeight="1">
      <c r="A16" s="42">
        <v>8</v>
      </c>
      <c r="B16" s="41" t="s">
        <v>204</v>
      </c>
      <c r="C16" s="80" t="s">
        <v>141</v>
      </c>
      <c r="D16" s="63" t="s">
        <v>206</v>
      </c>
      <c r="E16" s="69">
        <v>722.58</v>
      </c>
      <c r="F16" s="152"/>
      <c r="G16" s="75"/>
      <c r="H16" s="59"/>
      <c r="I16" s="133"/>
      <c r="J16" s="46"/>
      <c r="K16" s="57">
        <f t="shared" si="0"/>
        <v>0</v>
      </c>
      <c r="L16" s="47">
        <f t="shared" si="1"/>
        <v>722.58</v>
      </c>
      <c r="M16" s="105"/>
      <c r="N16" s="40"/>
    </row>
    <row r="17" spans="1:15" s="32" customFormat="1" ht="23.25" customHeight="1">
      <c r="A17" s="42">
        <v>9</v>
      </c>
      <c r="B17" s="41" t="s">
        <v>143</v>
      </c>
      <c r="C17" s="80" t="s">
        <v>144</v>
      </c>
      <c r="D17" s="63" t="s">
        <v>145</v>
      </c>
      <c r="E17" s="69">
        <v>3900</v>
      </c>
      <c r="F17" s="37"/>
      <c r="G17" s="75">
        <f t="shared" si="2"/>
        <v>195</v>
      </c>
      <c r="H17" s="59"/>
      <c r="I17" s="133"/>
      <c r="J17" s="46"/>
      <c r="K17" s="57">
        <f t="shared" si="0"/>
        <v>195</v>
      </c>
      <c r="L17" s="47">
        <f t="shared" si="1"/>
        <v>3705</v>
      </c>
      <c r="M17" s="39"/>
      <c r="N17" s="40"/>
    </row>
    <row r="18" spans="1:15" s="32" customFormat="1" ht="23.25" customHeight="1">
      <c r="A18" s="42">
        <v>10</v>
      </c>
      <c r="B18" s="41" t="s">
        <v>149</v>
      </c>
      <c r="C18" s="80" t="s">
        <v>150</v>
      </c>
      <c r="D18" s="63" t="s">
        <v>151</v>
      </c>
      <c r="E18" s="69">
        <v>3900</v>
      </c>
      <c r="F18" s="37"/>
      <c r="G18" s="75">
        <f t="shared" si="2"/>
        <v>195</v>
      </c>
      <c r="H18" s="209"/>
      <c r="I18" s="133"/>
      <c r="J18" s="46"/>
      <c r="K18" s="57">
        <f t="shared" si="0"/>
        <v>195</v>
      </c>
      <c r="L18" s="47">
        <f t="shared" si="1"/>
        <v>3705</v>
      </c>
      <c r="M18" s="39"/>
      <c r="N18" s="40"/>
    </row>
    <row r="19" spans="1:15" s="32" customFormat="1" ht="23.25" customHeight="1">
      <c r="A19" s="42">
        <v>11</v>
      </c>
      <c r="B19" s="41" t="s">
        <v>154</v>
      </c>
      <c r="C19" s="80" t="s">
        <v>337</v>
      </c>
      <c r="D19" s="63" t="s">
        <v>156</v>
      </c>
      <c r="E19" s="69">
        <v>3900</v>
      </c>
      <c r="F19" s="37"/>
      <c r="G19" s="75">
        <f t="shared" si="2"/>
        <v>195</v>
      </c>
      <c r="H19" s="100"/>
      <c r="I19" s="133"/>
      <c r="J19" s="52"/>
      <c r="K19" s="57">
        <f t="shared" si="0"/>
        <v>195</v>
      </c>
      <c r="L19" s="47">
        <f t="shared" si="1"/>
        <v>3705</v>
      </c>
      <c r="M19" s="39"/>
      <c r="N19" s="40"/>
    </row>
    <row r="20" spans="1:15" ht="23.25" customHeight="1">
      <c r="A20" s="42">
        <v>12</v>
      </c>
      <c r="B20" s="41" t="s">
        <v>167</v>
      </c>
      <c r="C20" s="80" t="s">
        <v>168</v>
      </c>
      <c r="D20" s="87" t="s">
        <v>169</v>
      </c>
      <c r="E20" s="69">
        <v>3660</v>
      </c>
      <c r="F20" s="10"/>
      <c r="G20" s="75">
        <f t="shared" si="2"/>
        <v>183</v>
      </c>
      <c r="H20" s="11"/>
      <c r="I20" s="133"/>
      <c r="J20" s="52"/>
      <c r="K20" s="57">
        <f t="shared" si="0"/>
        <v>183</v>
      </c>
      <c r="L20" s="47">
        <f t="shared" si="1"/>
        <v>3477</v>
      </c>
      <c r="M20" s="24"/>
      <c r="N20" s="23"/>
    </row>
    <row r="21" spans="1:15" ht="23.25" customHeight="1">
      <c r="A21" s="42">
        <v>13</v>
      </c>
      <c r="B21" s="49" t="s">
        <v>170</v>
      </c>
      <c r="C21" s="81" t="s">
        <v>360</v>
      </c>
      <c r="D21" s="82" t="s">
        <v>171</v>
      </c>
      <c r="E21" s="69">
        <v>3660</v>
      </c>
      <c r="F21" s="10"/>
      <c r="G21" s="75">
        <f t="shared" si="2"/>
        <v>183</v>
      </c>
      <c r="H21" s="16"/>
      <c r="I21" s="133"/>
      <c r="J21" s="17"/>
      <c r="K21" s="57">
        <f t="shared" si="0"/>
        <v>183</v>
      </c>
      <c r="L21" s="47">
        <f t="shared" si="1"/>
        <v>3477</v>
      </c>
      <c r="M21" s="24"/>
      <c r="N21" s="23"/>
    </row>
    <row r="22" spans="1:15" ht="23.25" customHeight="1">
      <c r="A22" s="42">
        <v>14</v>
      </c>
      <c r="B22" s="49" t="s">
        <v>340</v>
      </c>
      <c r="C22" s="81" t="s">
        <v>172</v>
      </c>
      <c r="D22" s="82" t="s">
        <v>349</v>
      </c>
      <c r="E22" s="69">
        <v>2880</v>
      </c>
      <c r="F22" s="10"/>
      <c r="G22" s="75">
        <f t="shared" si="2"/>
        <v>144</v>
      </c>
      <c r="H22" s="16"/>
      <c r="I22" s="133"/>
      <c r="J22" s="18"/>
      <c r="K22" s="57">
        <f t="shared" si="0"/>
        <v>144</v>
      </c>
      <c r="L22" s="47">
        <f t="shared" si="1"/>
        <v>2736</v>
      </c>
      <c r="M22" s="156"/>
      <c r="N22" s="154"/>
      <c r="O22" s="155"/>
    </row>
    <row r="23" spans="1:15" s="155" customFormat="1" ht="23.25" customHeight="1">
      <c r="A23" s="42">
        <v>15</v>
      </c>
      <c r="B23" s="49" t="s">
        <v>246</v>
      </c>
      <c r="C23" s="81" t="s">
        <v>173</v>
      </c>
      <c r="D23" s="82" t="s">
        <v>249</v>
      </c>
      <c r="E23" s="69">
        <v>2880</v>
      </c>
      <c r="F23" s="148"/>
      <c r="G23" s="75">
        <f t="shared" si="2"/>
        <v>144</v>
      </c>
      <c r="H23" s="16"/>
      <c r="I23" s="133"/>
      <c r="J23" s="18"/>
      <c r="K23" s="57">
        <f t="shared" si="0"/>
        <v>144</v>
      </c>
      <c r="L23" s="47">
        <f t="shared" si="1"/>
        <v>2736</v>
      </c>
      <c r="M23" s="156"/>
      <c r="N23" s="154"/>
    </row>
    <row r="24" spans="1:15" ht="23.25" customHeight="1">
      <c r="A24" s="35">
        <v>16</v>
      </c>
      <c r="B24" s="49" t="s">
        <v>174</v>
      </c>
      <c r="C24" s="81" t="s">
        <v>175</v>
      </c>
      <c r="D24" s="82" t="s">
        <v>176</v>
      </c>
      <c r="E24" s="71">
        <v>3660</v>
      </c>
      <c r="F24" s="14"/>
      <c r="G24" s="44">
        <f>SUM(E24*5%)+(F24*5%)</f>
        <v>183</v>
      </c>
      <c r="H24" s="16"/>
      <c r="I24" s="133"/>
      <c r="J24" s="18"/>
      <c r="K24" s="57">
        <f t="shared" si="0"/>
        <v>183</v>
      </c>
      <c r="L24" s="47">
        <f t="shared" si="1"/>
        <v>3477</v>
      </c>
      <c r="M24" s="156"/>
      <c r="N24" s="154"/>
      <c r="O24" s="155"/>
    </row>
    <row r="25" spans="1:15" s="32" customFormat="1" ht="23.25" customHeight="1" thickBot="1">
      <c r="A25" s="53"/>
      <c r="B25" s="19" t="s">
        <v>4</v>
      </c>
      <c r="C25" s="54"/>
      <c r="D25" s="55"/>
      <c r="E25" s="72">
        <f>SUM(E9:E24)</f>
        <v>52802.58</v>
      </c>
      <c r="F25" s="72">
        <f t="shared" ref="F25:L25" si="3">SUM(F9:F24)</f>
        <v>0</v>
      </c>
      <c r="G25" s="72">
        <f t="shared" si="3"/>
        <v>2532</v>
      </c>
      <c r="H25" s="72">
        <f t="shared" si="3"/>
        <v>0</v>
      </c>
      <c r="I25" s="72">
        <f t="shared" si="3"/>
        <v>0</v>
      </c>
      <c r="J25" s="72">
        <f t="shared" si="3"/>
        <v>0</v>
      </c>
      <c r="K25" s="72">
        <f t="shared" si="3"/>
        <v>2532</v>
      </c>
      <c r="L25" s="72">
        <f t="shared" si="3"/>
        <v>50270.58</v>
      </c>
      <c r="M25" s="78"/>
      <c r="N25" s="40"/>
    </row>
    <row r="26" spans="1:15" s="13" customFormat="1" ht="23.25" customHeight="1" thickTop="1">
      <c r="A26" s="448">
        <v>2</v>
      </c>
      <c r="B26" s="448"/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15"/>
      <c r="N26" s="26"/>
    </row>
    <row r="27" spans="1:15" ht="23.25" customHeight="1">
      <c r="A27" s="449" t="s">
        <v>1</v>
      </c>
      <c r="B27" s="451" t="s">
        <v>2</v>
      </c>
      <c r="C27" s="449" t="s">
        <v>9</v>
      </c>
      <c r="D27" s="449" t="s">
        <v>10</v>
      </c>
      <c r="E27" s="454" t="s">
        <v>11</v>
      </c>
      <c r="F27" s="93" t="s">
        <v>230</v>
      </c>
      <c r="G27" s="456" t="s">
        <v>14</v>
      </c>
      <c r="H27" s="457"/>
      <c r="I27" s="457"/>
      <c r="J27" s="458"/>
      <c r="K27" s="6" t="s">
        <v>6</v>
      </c>
      <c r="L27" s="6" t="s">
        <v>3</v>
      </c>
    </row>
    <row r="28" spans="1:15" ht="23.25" customHeight="1">
      <c r="A28" s="450"/>
      <c r="B28" s="452"/>
      <c r="C28" s="453"/>
      <c r="D28" s="453"/>
      <c r="E28" s="455"/>
      <c r="F28" s="61"/>
      <c r="G28" s="30" t="s">
        <v>12</v>
      </c>
      <c r="H28" s="116" t="s">
        <v>244</v>
      </c>
      <c r="I28" s="8" t="s">
        <v>7</v>
      </c>
      <c r="J28" s="33" t="s">
        <v>8</v>
      </c>
      <c r="K28" s="7" t="s">
        <v>13</v>
      </c>
      <c r="L28" s="9" t="s">
        <v>184</v>
      </c>
    </row>
    <row r="29" spans="1:15" s="32" customFormat="1" ht="23.25" customHeight="1">
      <c r="A29" s="42">
        <v>17</v>
      </c>
      <c r="B29" s="41" t="s">
        <v>106</v>
      </c>
      <c r="C29" s="80" t="s">
        <v>105</v>
      </c>
      <c r="D29" s="63" t="s">
        <v>107</v>
      </c>
      <c r="E29" s="69">
        <v>3762</v>
      </c>
      <c r="F29" s="43"/>
      <c r="G29" s="51">
        <f>SUM(E29*5%)+(F29*5%)-0.1</f>
        <v>188.00000000000003</v>
      </c>
      <c r="H29" s="59"/>
      <c r="I29" s="133"/>
      <c r="J29" s="46"/>
      <c r="K29" s="57">
        <f t="shared" ref="K29:K48" si="4">SUM(G29:J29)</f>
        <v>188.00000000000003</v>
      </c>
      <c r="L29" s="47">
        <f t="shared" ref="L29:L48" si="5">SUM(E29+F29-K29)</f>
        <v>3574</v>
      </c>
      <c r="M29" s="34"/>
      <c r="N29" s="40"/>
    </row>
    <row r="30" spans="1:15" s="32" customFormat="1" ht="23.25" customHeight="1">
      <c r="A30" s="42">
        <v>18</v>
      </c>
      <c r="B30" s="49" t="s">
        <v>266</v>
      </c>
      <c r="C30" s="81" t="s">
        <v>267</v>
      </c>
      <c r="D30" s="64" t="s">
        <v>268</v>
      </c>
      <c r="E30" s="70">
        <v>3060</v>
      </c>
      <c r="F30" s="37"/>
      <c r="G30" s="75">
        <f>SUM(E30*5%)+F30*5%</f>
        <v>153</v>
      </c>
      <c r="H30" s="59"/>
      <c r="I30" s="137"/>
      <c r="J30" s="46"/>
      <c r="K30" s="77">
        <f t="shared" si="4"/>
        <v>153</v>
      </c>
      <c r="L30" s="77">
        <f t="shared" si="5"/>
        <v>2907</v>
      </c>
      <c r="M30" s="39"/>
      <c r="N30" s="40"/>
    </row>
    <row r="31" spans="1:15" ht="23.25" customHeight="1">
      <c r="A31" s="35">
        <v>19</v>
      </c>
      <c r="B31" s="41" t="s">
        <v>351</v>
      </c>
      <c r="C31" s="80" t="s">
        <v>352</v>
      </c>
      <c r="D31" s="63" t="s">
        <v>353</v>
      </c>
      <c r="E31" s="70">
        <v>2880</v>
      </c>
      <c r="F31" s="10"/>
      <c r="G31" s="75">
        <f t="shared" ref="G31:G48" si="6">SUM(E31*5%)+F31*5%</f>
        <v>144</v>
      </c>
      <c r="H31" s="11"/>
      <c r="I31" s="141"/>
      <c r="J31" s="12"/>
      <c r="K31" s="57">
        <f t="shared" si="4"/>
        <v>144</v>
      </c>
      <c r="L31" s="47">
        <f t="shared" si="5"/>
        <v>2736</v>
      </c>
      <c r="M31" s="157"/>
      <c r="N31" s="23"/>
    </row>
    <row r="32" spans="1:15" s="32" customFormat="1" ht="23.25" customHeight="1">
      <c r="A32" s="42">
        <v>20</v>
      </c>
      <c r="B32" s="49" t="s">
        <v>269</v>
      </c>
      <c r="C32" s="81" t="s">
        <v>270</v>
      </c>
      <c r="D32" s="64" t="s">
        <v>271</v>
      </c>
      <c r="E32" s="70">
        <v>3060</v>
      </c>
      <c r="F32" s="37"/>
      <c r="G32" s="75">
        <f t="shared" si="6"/>
        <v>153</v>
      </c>
      <c r="H32" s="59"/>
      <c r="I32" s="133"/>
      <c r="J32" s="46"/>
      <c r="K32" s="77">
        <f t="shared" si="4"/>
        <v>153</v>
      </c>
      <c r="L32" s="77">
        <f t="shared" si="5"/>
        <v>2907</v>
      </c>
      <c r="M32" s="39"/>
      <c r="N32" s="40"/>
    </row>
    <row r="33" spans="1:14" s="32" customFormat="1" ht="23.25" customHeight="1">
      <c r="A33" s="35">
        <v>21</v>
      </c>
      <c r="B33" s="41" t="s">
        <v>282</v>
      </c>
      <c r="C33" s="85" t="s">
        <v>283</v>
      </c>
      <c r="D33" s="63" t="s">
        <v>284</v>
      </c>
      <c r="E33" s="70">
        <v>510</v>
      </c>
      <c r="F33" s="183"/>
      <c r="G33" s="75"/>
      <c r="H33" s="59"/>
      <c r="I33" s="137"/>
      <c r="J33" s="46"/>
      <c r="K33" s="77">
        <f t="shared" si="4"/>
        <v>0</v>
      </c>
      <c r="L33" s="77">
        <f>SUM(E33+F33-K33)</f>
        <v>510</v>
      </c>
      <c r="M33" s="39"/>
      <c r="N33" s="40"/>
    </row>
    <row r="34" spans="1:14" s="32" customFormat="1" ht="23.25" customHeight="1">
      <c r="A34" s="42">
        <v>22</v>
      </c>
      <c r="B34" s="41" t="s">
        <v>307</v>
      </c>
      <c r="C34" s="80" t="s">
        <v>306</v>
      </c>
      <c r="D34" s="63" t="s">
        <v>309</v>
      </c>
      <c r="E34" s="69">
        <v>3060</v>
      </c>
      <c r="F34" s="37"/>
      <c r="G34" s="75">
        <f t="shared" si="6"/>
        <v>153</v>
      </c>
      <c r="H34" s="59"/>
      <c r="I34" s="138"/>
      <c r="J34" s="46"/>
      <c r="K34" s="57">
        <f t="shared" si="4"/>
        <v>153</v>
      </c>
      <c r="L34" s="47">
        <f t="shared" si="5"/>
        <v>2907</v>
      </c>
      <c r="M34" s="39"/>
      <c r="N34" s="40"/>
    </row>
    <row r="35" spans="1:14" ht="23.25" customHeight="1">
      <c r="A35" s="35">
        <v>23</v>
      </c>
      <c r="B35" s="49" t="s">
        <v>100</v>
      </c>
      <c r="C35" s="81" t="s">
        <v>99</v>
      </c>
      <c r="D35" s="82" t="s">
        <v>101</v>
      </c>
      <c r="E35" s="69">
        <v>3840</v>
      </c>
      <c r="F35" s="10"/>
      <c r="G35" s="75">
        <f t="shared" si="6"/>
        <v>192</v>
      </c>
      <c r="H35" s="128"/>
      <c r="I35" s="133"/>
      <c r="J35" s="18"/>
      <c r="K35" s="57">
        <f t="shared" si="4"/>
        <v>192</v>
      </c>
      <c r="L35" s="47">
        <f t="shared" si="5"/>
        <v>3648</v>
      </c>
      <c r="M35" s="13"/>
      <c r="N35" s="23"/>
    </row>
    <row r="36" spans="1:14" ht="23.25" customHeight="1">
      <c r="A36" s="42">
        <v>24</v>
      </c>
      <c r="B36" s="49" t="s">
        <v>193</v>
      </c>
      <c r="C36" s="81" t="s">
        <v>99</v>
      </c>
      <c r="D36" s="64" t="s">
        <v>200</v>
      </c>
      <c r="E36" s="70">
        <v>3360</v>
      </c>
      <c r="F36" s="10"/>
      <c r="G36" s="75">
        <f t="shared" si="6"/>
        <v>168</v>
      </c>
      <c r="H36" s="128"/>
      <c r="I36" s="133"/>
      <c r="J36" s="17"/>
      <c r="K36" s="57">
        <f t="shared" si="4"/>
        <v>168</v>
      </c>
      <c r="L36" s="47">
        <f t="shared" si="5"/>
        <v>3192</v>
      </c>
      <c r="M36" s="24"/>
      <c r="N36" s="23"/>
    </row>
    <row r="37" spans="1:14" ht="23.25" customHeight="1">
      <c r="A37" s="35">
        <v>25</v>
      </c>
      <c r="B37" s="49" t="s">
        <v>102</v>
      </c>
      <c r="C37" s="81" t="s">
        <v>34</v>
      </c>
      <c r="D37" s="82" t="s">
        <v>103</v>
      </c>
      <c r="E37" s="69">
        <v>3900</v>
      </c>
      <c r="F37" s="10"/>
      <c r="G37" s="75">
        <f t="shared" si="6"/>
        <v>195</v>
      </c>
      <c r="H37" s="210"/>
      <c r="I37" s="133"/>
      <c r="J37" s="18"/>
      <c r="K37" s="57">
        <f t="shared" si="4"/>
        <v>195</v>
      </c>
      <c r="L37" s="47">
        <f t="shared" si="5"/>
        <v>3705</v>
      </c>
      <c r="M37" s="13"/>
      <c r="N37" s="23"/>
    </row>
    <row r="38" spans="1:14" s="32" customFormat="1" ht="23.25" customHeight="1">
      <c r="A38" s="42">
        <v>26</v>
      </c>
      <c r="B38" s="41" t="s">
        <v>33</v>
      </c>
      <c r="C38" s="85" t="s">
        <v>34</v>
      </c>
      <c r="D38" s="63" t="s">
        <v>35</v>
      </c>
      <c r="E38" s="67">
        <v>3660</v>
      </c>
      <c r="F38" s="37"/>
      <c r="G38" s="75">
        <f t="shared" si="6"/>
        <v>183</v>
      </c>
      <c r="H38" s="59"/>
      <c r="I38" s="135"/>
      <c r="J38" s="46"/>
      <c r="K38" s="38">
        <f t="shared" si="4"/>
        <v>183</v>
      </c>
      <c r="L38" s="47">
        <f t="shared" si="5"/>
        <v>3477</v>
      </c>
      <c r="M38" s="39"/>
      <c r="N38" s="40"/>
    </row>
    <row r="39" spans="1:14" s="32" customFormat="1" ht="23.25" customHeight="1">
      <c r="A39" s="35">
        <v>27</v>
      </c>
      <c r="B39" s="49" t="s">
        <v>232</v>
      </c>
      <c r="C39" s="81" t="s">
        <v>37</v>
      </c>
      <c r="D39" s="64" t="s">
        <v>104</v>
      </c>
      <c r="E39" s="70">
        <v>3900</v>
      </c>
      <c r="F39" s="50"/>
      <c r="G39" s="75">
        <f t="shared" si="6"/>
        <v>195</v>
      </c>
      <c r="H39" s="73"/>
      <c r="I39" s="133"/>
      <c r="J39" s="52"/>
      <c r="K39" s="57">
        <f t="shared" si="4"/>
        <v>195</v>
      </c>
      <c r="L39" s="47">
        <f t="shared" si="5"/>
        <v>3705</v>
      </c>
      <c r="M39" s="34"/>
      <c r="N39" s="40"/>
    </row>
    <row r="40" spans="1:14" s="32" customFormat="1" ht="23.25" customHeight="1">
      <c r="A40" s="42">
        <v>28</v>
      </c>
      <c r="B40" s="41" t="s">
        <v>319</v>
      </c>
      <c r="C40" s="117" t="s">
        <v>37</v>
      </c>
      <c r="D40" s="63" t="s">
        <v>332</v>
      </c>
      <c r="E40" s="69">
        <v>2880</v>
      </c>
      <c r="F40" s="43"/>
      <c r="G40" s="75">
        <f t="shared" si="6"/>
        <v>144</v>
      </c>
      <c r="H40" s="59"/>
      <c r="I40" s="133"/>
      <c r="J40" s="46"/>
      <c r="K40" s="57">
        <f t="shared" si="4"/>
        <v>144</v>
      </c>
      <c r="L40" s="47">
        <f t="shared" si="5"/>
        <v>2736</v>
      </c>
      <c r="M40" s="39"/>
      <c r="N40" s="40"/>
    </row>
    <row r="41" spans="1:14" s="32" customFormat="1" ht="23.25" customHeight="1">
      <c r="A41" s="35">
        <v>29</v>
      </c>
      <c r="B41" s="41" t="s">
        <v>36</v>
      </c>
      <c r="C41" s="85" t="s">
        <v>37</v>
      </c>
      <c r="D41" s="63" t="s">
        <v>38</v>
      </c>
      <c r="E41" s="67">
        <v>3660</v>
      </c>
      <c r="F41" s="37"/>
      <c r="G41" s="75">
        <f t="shared" si="6"/>
        <v>183</v>
      </c>
      <c r="H41" s="94"/>
      <c r="I41" s="194"/>
      <c r="J41" s="47"/>
      <c r="K41" s="38">
        <f t="shared" si="4"/>
        <v>183</v>
      </c>
      <c r="L41" s="47">
        <f t="shared" si="5"/>
        <v>3477</v>
      </c>
      <c r="M41" s="39"/>
      <c r="N41" s="40"/>
    </row>
    <row r="42" spans="1:14" s="32" customFormat="1" ht="23.25" customHeight="1">
      <c r="A42" s="42">
        <v>30</v>
      </c>
      <c r="B42" s="36" t="s">
        <v>108</v>
      </c>
      <c r="C42" s="79" t="s">
        <v>46</v>
      </c>
      <c r="D42" s="62" t="s">
        <v>109</v>
      </c>
      <c r="E42" s="69">
        <v>3900</v>
      </c>
      <c r="F42" s="37"/>
      <c r="G42" s="75">
        <f t="shared" si="6"/>
        <v>195</v>
      </c>
      <c r="H42" s="58"/>
      <c r="I42" s="133"/>
      <c r="J42" s="56"/>
      <c r="K42" s="57">
        <f t="shared" si="4"/>
        <v>195</v>
      </c>
      <c r="L42" s="47">
        <f t="shared" si="5"/>
        <v>3705</v>
      </c>
      <c r="M42" s="39"/>
      <c r="N42" s="40"/>
    </row>
    <row r="43" spans="1:14" s="32" customFormat="1" ht="23.25" customHeight="1">
      <c r="A43" s="35">
        <v>31</v>
      </c>
      <c r="B43" s="49" t="s">
        <v>336</v>
      </c>
      <c r="C43" s="86" t="s">
        <v>46</v>
      </c>
      <c r="D43" s="64" t="s">
        <v>47</v>
      </c>
      <c r="E43" s="67">
        <v>3660</v>
      </c>
      <c r="F43" s="37"/>
      <c r="G43" s="75">
        <f t="shared" si="6"/>
        <v>183</v>
      </c>
      <c r="H43" s="73"/>
      <c r="I43" s="136"/>
      <c r="J43" s="52"/>
      <c r="K43" s="38">
        <f t="shared" si="4"/>
        <v>183</v>
      </c>
      <c r="L43" s="47">
        <f t="shared" si="5"/>
        <v>3477</v>
      </c>
      <c r="M43" s="34"/>
      <c r="N43" s="40"/>
    </row>
    <row r="44" spans="1:14" s="32" customFormat="1" ht="23.25" customHeight="1">
      <c r="A44" s="42">
        <v>32</v>
      </c>
      <c r="B44" s="49" t="s">
        <v>48</v>
      </c>
      <c r="C44" s="86" t="s">
        <v>46</v>
      </c>
      <c r="D44" s="64" t="s">
        <v>49</v>
      </c>
      <c r="E44" s="67">
        <v>3780</v>
      </c>
      <c r="F44" s="37"/>
      <c r="G44" s="75">
        <f t="shared" si="6"/>
        <v>189</v>
      </c>
      <c r="H44" s="102"/>
      <c r="I44" s="133"/>
      <c r="J44" s="52"/>
      <c r="K44" s="38">
        <f t="shared" si="4"/>
        <v>189</v>
      </c>
      <c r="L44" s="47">
        <f t="shared" si="5"/>
        <v>3591</v>
      </c>
      <c r="M44" s="34"/>
      <c r="N44" s="40"/>
    </row>
    <row r="45" spans="1:14" s="32" customFormat="1" ht="23.25" customHeight="1">
      <c r="A45" s="35">
        <v>33</v>
      </c>
      <c r="B45" s="41" t="s">
        <v>110</v>
      </c>
      <c r="C45" s="80" t="s">
        <v>57</v>
      </c>
      <c r="D45" s="63" t="s">
        <v>111</v>
      </c>
      <c r="E45" s="69">
        <v>3900</v>
      </c>
      <c r="F45" s="37"/>
      <c r="G45" s="75">
        <f t="shared" si="6"/>
        <v>195</v>
      </c>
      <c r="H45" s="100"/>
      <c r="I45" s="133"/>
      <c r="J45" s="46"/>
      <c r="K45" s="57">
        <f t="shared" si="4"/>
        <v>195</v>
      </c>
      <c r="L45" s="47">
        <f t="shared" si="5"/>
        <v>3705</v>
      </c>
      <c r="M45" s="39"/>
      <c r="N45" s="40"/>
    </row>
    <row r="46" spans="1:14" s="32" customFormat="1" ht="23.25" customHeight="1">
      <c r="A46" s="42">
        <v>34</v>
      </c>
      <c r="B46" s="41" t="s">
        <v>112</v>
      </c>
      <c r="C46" s="80" t="s">
        <v>57</v>
      </c>
      <c r="D46" s="63" t="s">
        <v>113</v>
      </c>
      <c r="E46" s="69">
        <v>3900</v>
      </c>
      <c r="F46" s="37"/>
      <c r="G46" s="75">
        <f t="shared" si="6"/>
        <v>195</v>
      </c>
      <c r="H46" s="100"/>
      <c r="I46" s="133"/>
      <c r="J46" s="46"/>
      <c r="K46" s="57">
        <f t="shared" si="4"/>
        <v>195</v>
      </c>
      <c r="L46" s="47">
        <f t="shared" si="5"/>
        <v>3705</v>
      </c>
      <c r="M46" s="39"/>
      <c r="N46" s="40"/>
    </row>
    <row r="47" spans="1:14" s="32" customFormat="1" ht="23.25" customHeight="1">
      <c r="A47" s="35">
        <v>35</v>
      </c>
      <c r="B47" s="41" t="s">
        <v>114</v>
      </c>
      <c r="C47" s="80" t="s">
        <v>57</v>
      </c>
      <c r="D47" s="63" t="s">
        <v>234</v>
      </c>
      <c r="E47" s="68">
        <v>3960</v>
      </c>
      <c r="F47" s="37"/>
      <c r="G47" s="75">
        <f t="shared" si="6"/>
        <v>198</v>
      </c>
      <c r="H47" s="100"/>
      <c r="I47" s="133"/>
      <c r="J47" s="52"/>
      <c r="K47" s="57">
        <f t="shared" si="4"/>
        <v>198</v>
      </c>
      <c r="L47" s="47">
        <f t="shared" si="5"/>
        <v>3762</v>
      </c>
      <c r="M47" s="39"/>
      <c r="N47" s="40"/>
    </row>
    <row r="48" spans="1:14" s="32" customFormat="1" ht="23.25" customHeight="1">
      <c r="A48" s="42">
        <v>36</v>
      </c>
      <c r="B48" s="41" t="s">
        <v>56</v>
      </c>
      <c r="C48" s="80" t="s">
        <v>57</v>
      </c>
      <c r="D48" s="63" t="s">
        <v>58</v>
      </c>
      <c r="E48" s="69">
        <v>3660</v>
      </c>
      <c r="F48" s="43"/>
      <c r="G48" s="75">
        <f t="shared" si="6"/>
        <v>183</v>
      </c>
      <c r="H48" s="94"/>
      <c r="I48" s="137"/>
      <c r="J48" s="46"/>
      <c r="K48" s="57">
        <f t="shared" si="4"/>
        <v>183</v>
      </c>
      <c r="L48" s="47">
        <f t="shared" si="5"/>
        <v>3477</v>
      </c>
      <c r="M48" s="34"/>
      <c r="N48" s="40"/>
    </row>
    <row r="49" spans="1:14" s="32" customFormat="1" ht="23.25" customHeight="1">
      <c r="A49" s="35"/>
      <c r="B49" s="41"/>
      <c r="C49" s="80"/>
      <c r="D49" s="63"/>
      <c r="E49" s="74"/>
      <c r="F49" s="37"/>
      <c r="G49" s="75"/>
      <c r="H49" s="73"/>
      <c r="I49" s="133"/>
      <c r="J49" s="46"/>
      <c r="K49" s="76"/>
      <c r="L49" s="77"/>
      <c r="M49" s="34"/>
      <c r="N49" s="40"/>
    </row>
    <row r="50" spans="1:14" ht="23.25" customHeight="1" thickBot="1">
      <c r="A50" s="19"/>
      <c r="B50" s="19" t="s">
        <v>4</v>
      </c>
      <c r="C50" s="20"/>
      <c r="D50" s="205"/>
      <c r="E50" s="31">
        <f>SUM(E25,E29:E49)</f>
        <v>121094.58</v>
      </c>
      <c r="F50" s="31">
        <f t="shared" ref="F50:K50" si="7">SUM(F25,F29:F49)</f>
        <v>0</v>
      </c>
      <c r="G50" s="31">
        <f t="shared" si="7"/>
        <v>5921</v>
      </c>
      <c r="H50" s="31">
        <f t="shared" si="7"/>
        <v>0</v>
      </c>
      <c r="I50" s="31">
        <f t="shared" si="7"/>
        <v>0</v>
      </c>
      <c r="J50" s="111">
        <f t="shared" si="7"/>
        <v>0</v>
      </c>
      <c r="K50" s="31">
        <f t="shared" si="7"/>
        <v>5921</v>
      </c>
      <c r="L50" s="31">
        <f>SUM(L25,L29:L49)</f>
        <v>115173.58</v>
      </c>
      <c r="M50" s="25"/>
      <c r="N50" s="23"/>
    </row>
    <row r="51" spans="1:14" s="13" customFormat="1" ht="23.25" customHeight="1" thickTop="1">
      <c r="A51" s="448">
        <v>3</v>
      </c>
      <c r="B51" s="448"/>
      <c r="C51" s="448"/>
      <c r="D51" s="448"/>
      <c r="E51" s="448"/>
      <c r="F51" s="448"/>
      <c r="G51" s="448"/>
      <c r="H51" s="448"/>
      <c r="I51" s="448"/>
      <c r="J51" s="448"/>
      <c r="K51" s="448"/>
      <c r="L51" s="448"/>
      <c r="M51" s="15"/>
      <c r="N51" s="26"/>
    </row>
    <row r="52" spans="1:14" ht="23.25" customHeight="1">
      <c r="A52" s="449" t="s">
        <v>1</v>
      </c>
      <c r="B52" s="451" t="s">
        <v>2</v>
      </c>
      <c r="C52" s="449" t="s">
        <v>9</v>
      </c>
      <c r="D52" s="449" t="s">
        <v>10</v>
      </c>
      <c r="E52" s="454" t="s">
        <v>11</v>
      </c>
      <c r="F52" s="93" t="s">
        <v>230</v>
      </c>
      <c r="G52" s="456" t="s">
        <v>14</v>
      </c>
      <c r="H52" s="457"/>
      <c r="I52" s="457"/>
      <c r="J52" s="458"/>
      <c r="K52" s="6" t="s">
        <v>6</v>
      </c>
      <c r="L52" s="6" t="s">
        <v>3</v>
      </c>
    </row>
    <row r="53" spans="1:14" ht="23.25" customHeight="1">
      <c r="A53" s="450"/>
      <c r="B53" s="452"/>
      <c r="C53" s="453"/>
      <c r="D53" s="453"/>
      <c r="E53" s="455"/>
      <c r="F53" s="61"/>
      <c r="G53" s="30" t="s">
        <v>12</v>
      </c>
      <c r="H53" s="116" t="s">
        <v>244</v>
      </c>
      <c r="I53" s="8" t="s">
        <v>7</v>
      </c>
      <c r="J53" s="33" t="s">
        <v>8</v>
      </c>
      <c r="K53" s="7" t="s">
        <v>13</v>
      </c>
      <c r="L53" s="9" t="s">
        <v>184</v>
      </c>
    </row>
    <row r="54" spans="1:14" s="32" customFormat="1" ht="23.25" customHeight="1">
      <c r="A54" s="35">
        <v>37</v>
      </c>
      <c r="B54" s="41" t="s">
        <v>116</v>
      </c>
      <c r="C54" s="80" t="s">
        <v>51</v>
      </c>
      <c r="D54" s="63" t="s">
        <v>115</v>
      </c>
      <c r="E54" s="68">
        <v>650</v>
      </c>
      <c r="F54" s="37"/>
      <c r="G54" s="51"/>
      <c r="H54" s="59"/>
      <c r="I54" s="133"/>
      <c r="J54" s="46"/>
      <c r="K54" s="57">
        <f t="shared" ref="K54:K74" si="8">SUM(G54:J54)</f>
        <v>0</v>
      </c>
      <c r="L54" s="47">
        <f t="shared" ref="L54:L74" si="9">SUM(E54+F54-K54)</f>
        <v>650</v>
      </c>
      <c r="M54" s="105"/>
      <c r="N54" s="40"/>
    </row>
    <row r="55" spans="1:14" s="32" customFormat="1" ht="23.25" customHeight="1">
      <c r="A55" s="42">
        <v>38</v>
      </c>
      <c r="B55" s="41" t="s">
        <v>235</v>
      </c>
      <c r="C55" s="80" t="s">
        <v>51</v>
      </c>
      <c r="D55" s="63" t="s">
        <v>117</v>
      </c>
      <c r="E55" s="68">
        <v>3900</v>
      </c>
      <c r="F55" s="37"/>
      <c r="G55" s="51">
        <f>SUM(E55*5%)+(F55*5%)</f>
        <v>195</v>
      </c>
      <c r="H55" s="59"/>
      <c r="I55" s="133"/>
      <c r="J55" s="46"/>
      <c r="K55" s="57">
        <f t="shared" si="8"/>
        <v>195</v>
      </c>
      <c r="L55" s="47">
        <f t="shared" si="9"/>
        <v>3705</v>
      </c>
      <c r="M55" s="39"/>
      <c r="N55" s="40"/>
    </row>
    <row r="56" spans="1:14" s="32" customFormat="1" ht="23.25" customHeight="1">
      <c r="A56" s="35">
        <v>39</v>
      </c>
      <c r="B56" s="49" t="s">
        <v>50</v>
      </c>
      <c r="C56" s="86" t="s">
        <v>51</v>
      </c>
      <c r="D56" s="64" t="s">
        <v>52</v>
      </c>
      <c r="E56" s="67">
        <v>3660</v>
      </c>
      <c r="F56" s="37"/>
      <c r="G56" s="75">
        <f>SUM(E56*5%)+(F56*5%)</f>
        <v>183</v>
      </c>
      <c r="H56" s="98"/>
      <c r="I56" s="136"/>
      <c r="J56" s="52"/>
      <c r="K56" s="38">
        <f t="shared" si="8"/>
        <v>183</v>
      </c>
      <c r="L56" s="47">
        <f t="shared" si="9"/>
        <v>3477</v>
      </c>
      <c r="M56" s="34"/>
      <c r="N56" s="40"/>
    </row>
    <row r="57" spans="1:14" s="32" customFormat="1" ht="23.25" customHeight="1">
      <c r="A57" s="42">
        <v>40</v>
      </c>
      <c r="B57" s="41" t="s">
        <v>53</v>
      </c>
      <c r="C57" s="80" t="s">
        <v>51</v>
      </c>
      <c r="D57" s="63" t="s">
        <v>54</v>
      </c>
      <c r="E57" s="69">
        <v>630</v>
      </c>
      <c r="F57" s="43"/>
      <c r="G57" s="75"/>
      <c r="H57" s="59"/>
      <c r="I57" s="137"/>
      <c r="J57" s="46"/>
      <c r="K57" s="38">
        <f t="shared" si="8"/>
        <v>0</v>
      </c>
      <c r="L57" s="47">
        <f t="shared" si="9"/>
        <v>630</v>
      </c>
      <c r="M57" s="34"/>
      <c r="N57" s="40"/>
    </row>
    <row r="58" spans="1:14" s="32" customFormat="1" ht="23.25" customHeight="1">
      <c r="A58" s="35">
        <v>41</v>
      </c>
      <c r="B58" s="49" t="s">
        <v>318</v>
      </c>
      <c r="C58" s="81" t="s">
        <v>51</v>
      </c>
      <c r="D58" s="64" t="s">
        <v>330</v>
      </c>
      <c r="E58" s="67">
        <v>2880</v>
      </c>
      <c r="F58" s="37"/>
      <c r="G58" s="75">
        <f>SUM(E58*5%)+(F58*5%)</f>
        <v>144</v>
      </c>
      <c r="H58" s="73"/>
      <c r="I58" s="133"/>
      <c r="J58" s="52"/>
      <c r="K58" s="38">
        <f t="shared" si="8"/>
        <v>144</v>
      </c>
      <c r="L58" s="47">
        <f t="shared" si="9"/>
        <v>2736</v>
      </c>
      <c r="M58" s="34"/>
      <c r="N58" s="40"/>
    </row>
    <row r="59" spans="1:14" s="32" customFormat="1" ht="23.25" customHeight="1">
      <c r="A59" s="42">
        <v>42</v>
      </c>
      <c r="B59" s="41" t="s">
        <v>118</v>
      </c>
      <c r="C59" s="80" t="s">
        <v>31</v>
      </c>
      <c r="D59" s="63" t="s">
        <v>119</v>
      </c>
      <c r="E59" s="68">
        <v>3900</v>
      </c>
      <c r="F59" s="37"/>
      <c r="G59" s="75">
        <f t="shared" ref="G59:G74" si="10">SUM(E59*5%)+(F59*5%)</f>
        <v>195</v>
      </c>
      <c r="H59" s="59"/>
      <c r="I59" s="135"/>
      <c r="J59" s="46"/>
      <c r="K59" s="57">
        <f t="shared" si="8"/>
        <v>195</v>
      </c>
      <c r="L59" s="47">
        <f t="shared" si="9"/>
        <v>3705</v>
      </c>
      <c r="M59" s="39"/>
      <c r="N59" s="40"/>
    </row>
    <row r="60" spans="1:14" s="32" customFormat="1" ht="23.25" customHeight="1">
      <c r="A60" s="35">
        <v>43</v>
      </c>
      <c r="B60" s="41" t="s">
        <v>30</v>
      </c>
      <c r="C60" s="85" t="s">
        <v>31</v>
      </c>
      <c r="D60" s="63" t="s">
        <v>32</v>
      </c>
      <c r="E60" s="67">
        <v>3780</v>
      </c>
      <c r="F60" s="37"/>
      <c r="G60" s="75">
        <f t="shared" si="10"/>
        <v>189</v>
      </c>
      <c r="H60" s="209"/>
      <c r="I60" s="133"/>
      <c r="J60" s="46"/>
      <c r="K60" s="38">
        <f t="shared" si="8"/>
        <v>189</v>
      </c>
      <c r="L60" s="47">
        <f t="shared" si="9"/>
        <v>3591</v>
      </c>
      <c r="M60" s="39"/>
      <c r="N60" s="40"/>
    </row>
    <row r="61" spans="1:14" s="32" customFormat="1" ht="23.25" customHeight="1">
      <c r="A61" s="42">
        <v>44</v>
      </c>
      <c r="B61" s="36" t="s">
        <v>314</v>
      </c>
      <c r="C61" s="84" t="s">
        <v>28</v>
      </c>
      <c r="D61" s="62" t="s">
        <v>315</v>
      </c>
      <c r="E61" s="67">
        <v>2880</v>
      </c>
      <c r="F61" s="37"/>
      <c r="G61" s="75">
        <f t="shared" si="10"/>
        <v>144</v>
      </c>
      <c r="H61" s="58"/>
      <c r="I61" s="133"/>
      <c r="J61" s="56"/>
      <c r="K61" s="38">
        <f t="shared" si="8"/>
        <v>144</v>
      </c>
      <c r="L61" s="47">
        <f t="shared" si="9"/>
        <v>2736</v>
      </c>
      <c r="M61" s="39"/>
      <c r="N61" s="40"/>
    </row>
    <row r="62" spans="1:14" s="32" customFormat="1" ht="23.25" customHeight="1">
      <c r="A62" s="35">
        <v>45</v>
      </c>
      <c r="B62" s="41" t="s">
        <v>412</v>
      </c>
      <c r="C62" s="85" t="s">
        <v>28</v>
      </c>
      <c r="D62" s="63" t="s">
        <v>29</v>
      </c>
      <c r="E62" s="67">
        <v>610</v>
      </c>
      <c r="F62" s="37"/>
      <c r="G62" s="75"/>
      <c r="H62" s="59"/>
      <c r="I62" s="133"/>
      <c r="J62" s="46"/>
      <c r="K62" s="38">
        <f t="shared" si="8"/>
        <v>0</v>
      </c>
      <c r="L62" s="47">
        <f t="shared" si="9"/>
        <v>610</v>
      </c>
      <c r="M62" s="39"/>
      <c r="N62" s="40"/>
    </row>
    <row r="63" spans="1:14" ht="23.25" customHeight="1">
      <c r="A63" s="42">
        <v>46</v>
      </c>
      <c r="B63" s="41" t="s">
        <v>354</v>
      </c>
      <c r="C63" s="80" t="s">
        <v>24</v>
      </c>
      <c r="D63" s="87" t="s">
        <v>120</v>
      </c>
      <c r="E63" s="68">
        <v>838.71</v>
      </c>
      <c r="F63" s="37"/>
      <c r="G63" s="75"/>
      <c r="H63" s="11"/>
      <c r="I63" s="133"/>
      <c r="J63" s="12"/>
      <c r="K63" s="57">
        <f t="shared" si="8"/>
        <v>0</v>
      </c>
      <c r="L63" s="47">
        <f t="shared" si="9"/>
        <v>838.71</v>
      </c>
      <c r="M63" s="105"/>
      <c r="N63" s="23"/>
    </row>
    <row r="64" spans="1:14" s="32" customFormat="1" ht="23.25" customHeight="1">
      <c r="A64" s="35">
        <v>47</v>
      </c>
      <c r="B64" s="41" t="s">
        <v>23</v>
      </c>
      <c r="C64" s="80" t="s">
        <v>24</v>
      </c>
      <c r="D64" s="63" t="s">
        <v>25</v>
      </c>
      <c r="E64" s="74">
        <v>3660</v>
      </c>
      <c r="F64" s="43"/>
      <c r="G64" s="75">
        <f t="shared" si="10"/>
        <v>183</v>
      </c>
      <c r="H64" s="59"/>
      <c r="I64" s="133"/>
      <c r="J64" s="46"/>
      <c r="K64" s="76">
        <f t="shared" si="8"/>
        <v>183</v>
      </c>
      <c r="L64" s="77">
        <f t="shared" si="9"/>
        <v>3477</v>
      </c>
      <c r="M64" s="34"/>
      <c r="N64" s="40"/>
    </row>
    <row r="65" spans="1:15" s="32" customFormat="1" ht="23.25" customHeight="1">
      <c r="A65" s="42">
        <v>48</v>
      </c>
      <c r="B65" s="106" t="s">
        <v>341</v>
      </c>
      <c r="C65" s="84" t="s">
        <v>24</v>
      </c>
      <c r="D65" s="107" t="s">
        <v>342</v>
      </c>
      <c r="E65" s="108">
        <v>2880</v>
      </c>
      <c r="F65" s="109"/>
      <c r="G65" s="75">
        <f t="shared" si="10"/>
        <v>144</v>
      </c>
      <c r="H65" s="110"/>
      <c r="I65" s="133"/>
      <c r="J65" s="46"/>
      <c r="K65" s="38">
        <f t="shared" si="8"/>
        <v>144</v>
      </c>
      <c r="L65" s="47">
        <f t="shared" si="9"/>
        <v>2736</v>
      </c>
      <c r="M65" s="34"/>
    </row>
    <row r="66" spans="1:15" ht="23.25" customHeight="1">
      <c r="A66" s="35">
        <v>49</v>
      </c>
      <c r="B66" s="41" t="s">
        <v>121</v>
      </c>
      <c r="C66" s="80" t="s">
        <v>26</v>
      </c>
      <c r="D66" s="87" t="s">
        <v>122</v>
      </c>
      <c r="E66" s="68">
        <v>3780</v>
      </c>
      <c r="F66" s="37"/>
      <c r="G66" s="75">
        <f t="shared" si="10"/>
        <v>189</v>
      </c>
      <c r="H66" s="161"/>
      <c r="I66" s="133"/>
      <c r="J66" s="12"/>
      <c r="K66" s="57">
        <f t="shared" si="8"/>
        <v>189</v>
      </c>
      <c r="L66" s="47">
        <f t="shared" si="9"/>
        <v>3591</v>
      </c>
      <c r="M66" s="24"/>
      <c r="N66" s="23"/>
    </row>
    <row r="67" spans="1:15" ht="23.25" customHeight="1">
      <c r="A67" s="42">
        <v>50</v>
      </c>
      <c r="B67" s="41" t="s">
        <v>301</v>
      </c>
      <c r="C67" s="85" t="s">
        <v>26</v>
      </c>
      <c r="D67" s="63" t="s">
        <v>302</v>
      </c>
      <c r="E67" s="69">
        <v>3060</v>
      </c>
      <c r="F67" s="168"/>
      <c r="G67" s="75">
        <f t="shared" si="10"/>
        <v>153</v>
      </c>
      <c r="H67" s="11"/>
      <c r="I67" s="133"/>
      <c r="J67" s="12"/>
      <c r="K67" s="57">
        <f t="shared" si="8"/>
        <v>153</v>
      </c>
      <c r="L67" s="47">
        <f t="shared" si="9"/>
        <v>2907</v>
      </c>
      <c r="M67" s="13"/>
      <c r="N67" s="23"/>
    </row>
    <row r="68" spans="1:15" s="32" customFormat="1" ht="23.25" customHeight="1">
      <c r="A68" s="35">
        <v>51</v>
      </c>
      <c r="B68" s="41" t="s">
        <v>39</v>
      </c>
      <c r="C68" s="85" t="s">
        <v>40</v>
      </c>
      <c r="D68" s="63" t="s">
        <v>233</v>
      </c>
      <c r="E68" s="69">
        <v>3660</v>
      </c>
      <c r="F68" s="43"/>
      <c r="G68" s="75">
        <f t="shared" si="10"/>
        <v>183</v>
      </c>
      <c r="H68" s="100"/>
      <c r="I68" s="133"/>
      <c r="J68" s="46"/>
      <c r="K68" s="57">
        <f t="shared" si="8"/>
        <v>183</v>
      </c>
      <c r="L68" s="47">
        <f t="shared" si="9"/>
        <v>3477</v>
      </c>
      <c r="M68" s="34"/>
      <c r="N68" s="40"/>
    </row>
    <row r="69" spans="1:15" s="32" customFormat="1" ht="23.25" customHeight="1">
      <c r="A69" s="42">
        <v>52</v>
      </c>
      <c r="B69" s="36" t="s">
        <v>305</v>
      </c>
      <c r="C69" s="79" t="s">
        <v>40</v>
      </c>
      <c r="D69" s="62" t="s">
        <v>308</v>
      </c>
      <c r="E69" s="67">
        <v>2880</v>
      </c>
      <c r="F69" s="37"/>
      <c r="G69" s="75">
        <f t="shared" si="10"/>
        <v>144</v>
      </c>
      <c r="H69" s="58"/>
      <c r="I69" s="212"/>
      <c r="J69" s="56"/>
      <c r="K69" s="38">
        <f t="shared" si="8"/>
        <v>144</v>
      </c>
      <c r="L69" s="162">
        <f t="shared" si="9"/>
        <v>2736</v>
      </c>
      <c r="M69" s="39"/>
      <c r="N69" s="40"/>
    </row>
    <row r="70" spans="1:15" s="32" customFormat="1" ht="23.25" customHeight="1">
      <c r="A70" s="42">
        <v>53</v>
      </c>
      <c r="B70" s="49" t="s">
        <v>41</v>
      </c>
      <c r="C70" s="86" t="s">
        <v>42</v>
      </c>
      <c r="D70" s="64" t="s">
        <v>43</v>
      </c>
      <c r="E70" s="67">
        <v>3600</v>
      </c>
      <c r="F70" s="37"/>
      <c r="G70" s="75">
        <f t="shared" si="10"/>
        <v>180</v>
      </c>
      <c r="H70" s="102"/>
      <c r="I70" s="133"/>
      <c r="J70" s="52"/>
      <c r="K70" s="38">
        <f t="shared" si="8"/>
        <v>180</v>
      </c>
      <c r="L70" s="47">
        <f t="shared" si="9"/>
        <v>3420</v>
      </c>
      <c r="M70" s="34"/>
      <c r="N70" s="40"/>
    </row>
    <row r="71" spans="1:15" s="32" customFormat="1" ht="23.25" customHeight="1">
      <c r="A71" s="35">
        <v>54</v>
      </c>
      <c r="B71" s="49" t="s">
        <v>44</v>
      </c>
      <c r="C71" s="86" t="s">
        <v>42</v>
      </c>
      <c r="D71" s="64" t="s">
        <v>45</v>
      </c>
      <c r="E71" s="67">
        <v>3720</v>
      </c>
      <c r="F71" s="37"/>
      <c r="G71" s="75">
        <f t="shared" si="10"/>
        <v>186</v>
      </c>
      <c r="H71" s="102"/>
      <c r="I71" s="133"/>
      <c r="J71" s="46"/>
      <c r="K71" s="38">
        <f t="shared" si="8"/>
        <v>186</v>
      </c>
      <c r="L71" s="47">
        <f t="shared" si="9"/>
        <v>3534</v>
      </c>
      <c r="M71" s="34"/>
      <c r="N71" s="40"/>
    </row>
    <row r="72" spans="1:15" ht="23.25" customHeight="1">
      <c r="A72" s="42">
        <v>55</v>
      </c>
      <c r="B72" s="41" t="s">
        <v>157</v>
      </c>
      <c r="C72" s="80" t="s">
        <v>155</v>
      </c>
      <c r="D72" s="87" t="s">
        <v>158</v>
      </c>
      <c r="E72" s="69">
        <v>3900</v>
      </c>
      <c r="F72" s="10"/>
      <c r="G72" s="75">
        <f t="shared" si="10"/>
        <v>195</v>
      </c>
      <c r="H72" s="11"/>
      <c r="I72" s="139"/>
      <c r="J72" s="52"/>
      <c r="K72" s="57">
        <f t="shared" si="8"/>
        <v>195</v>
      </c>
      <c r="L72" s="47">
        <f t="shared" si="9"/>
        <v>3705</v>
      </c>
      <c r="M72" s="24"/>
      <c r="N72" s="23"/>
    </row>
    <row r="73" spans="1:15" ht="23.25" customHeight="1">
      <c r="A73" s="35">
        <v>56</v>
      </c>
      <c r="B73" s="41" t="s">
        <v>159</v>
      </c>
      <c r="C73" s="80" t="s">
        <v>160</v>
      </c>
      <c r="D73" s="87" t="s">
        <v>161</v>
      </c>
      <c r="E73" s="69">
        <v>3720</v>
      </c>
      <c r="F73" s="10"/>
      <c r="G73" s="75">
        <f t="shared" si="10"/>
        <v>186</v>
      </c>
      <c r="H73" s="101"/>
      <c r="I73" s="133"/>
      <c r="J73" s="52"/>
      <c r="K73" s="57">
        <f t="shared" si="8"/>
        <v>186</v>
      </c>
      <c r="L73" s="47">
        <f t="shared" si="9"/>
        <v>3534</v>
      </c>
      <c r="M73" s="105"/>
      <c r="N73" s="23"/>
    </row>
    <row r="74" spans="1:15" ht="23.25" customHeight="1">
      <c r="A74" s="42">
        <v>57</v>
      </c>
      <c r="B74" s="41" t="s">
        <v>162</v>
      </c>
      <c r="C74" s="80" t="s">
        <v>228</v>
      </c>
      <c r="D74" s="87" t="s">
        <v>163</v>
      </c>
      <c r="E74" s="69">
        <v>3900</v>
      </c>
      <c r="F74" s="10"/>
      <c r="G74" s="75">
        <f t="shared" si="10"/>
        <v>195</v>
      </c>
      <c r="H74" s="101"/>
      <c r="I74" s="133"/>
      <c r="J74" s="12"/>
      <c r="K74" s="57">
        <f t="shared" si="8"/>
        <v>195</v>
      </c>
      <c r="L74" s="47">
        <f t="shared" si="9"/>
        <v>3705</v>
      </c>
      <c r="M74" s="24"/>
      <c r="N74" s="23"/>
    </row>
    <row r="75" spans="1:15" ht="23.25" customHeight="1" thickBot="1">
      <c r="A75" s="19"/>
      <c r="B75" s="19" t="s">
        <v>4</v>
      </c>
      <c r="C75" s="20"/>
      <c r="D75" s="21">
        <f>SUM(D25,D123:D164)</f>
        <v>0</v>
      </c>
      <c r="E75" s="31">
        <f>SUM(E50,E54:E74)</f>
        <v>183583.29</v>
      </c>
      <c r="F75" s="31">
        <f t="shared" ref="F75:K75" si="11">SUM(F50,F54:F74)</f>
        <v>0</v>
      </c>
      <c r="G75" s="31">
        <f t="shared" si="11"/>
        <v>8909</v>
      </c>
      <c r="H75" s="31">
        <f t="shared" si="11"/>
        <v>0</v>
      </c>
      <c r="I75" s="31">
        <f t="shared" si="11"/>
        <v>0</v>
      </c>
      <c r="J75" s="111">
        <f t="shared" si="11"/>
        <v>0</v>
      </c>
      <c r="K75" s="31">
        <f t="shared" si="11"/>
        <v>8909</v>
      </c>
      <c r="L75" s="31">
        <f>SUM(L50,L54:L74)</f>
        <v>174674.29</v>
      </c>
      <c r="M75" s="25"/>
      <c r="N75" s="23"/>
    </row>
    <row r="76" spans="1:15" s="13" customFormat="1" ht="23.25" customHeight="1" thickTop="1">
      <c r="A76" s="448">
        <v>4</v>
      </c>
      <c r="B76" s="448"/>
      <c r="C76" s="448"/>
      <c r="D76" s="448"/>
      <c r="E76" s="448"/>
      <c r="F76" s="448"/>
      <c r="G76" s="448"/>
      <c r="H76" s="448"/>
      <c r="I76" s="448"/>
      <c r="J76" s="448"/>
      <c r="K76" s="448"/>
      <c r="L76" s="448"/>
      <c r="M76" s="15"/>
      <c r="N76" s="26"/>
    </row>
    <row r="77" spans="1:15" ht="23.25" customHeight="1">
      <c r="A77" s="449" t="s">
        <v>1</v>
      </c>
      <c r="B77" s="451" t="s">
        <v>2</v>
      </c>
      <c r="C77" s="449" t="s">
        <v>9</v>
      </c>
      <c r="D77" s="449" t="s">
        <v>10</v>
      </c>
      <c r="E77" s="454" t="s">
        <v>11</v>
      </c>
      <c r="F77" s="93" t="s">
        <v>230</v>
      </c>
      <c r="G77" s="456" t="s">
        <v>14</v>
      </c>
      <c r="H77" s="457"/>
      <c r="I77" s="457"/>
      <c r="J77" s="458"/>
      <c r="K77" s="6" t="s">
        <v>6</v>
      </c>
      <c r="L77" s="6" t="s">
        <v>3</v>
      </c>
    </row>
    <row r="78" spans="1:15" ht="23.25" customHeight="1">
      <c r="A78" s="450"/>
      <c r="B78" s="452"/>
      <c r="C78" s="453"/>
      <c r="D78" s="453"/>
      <c r="E78" s="455"/>
      <c r="F78" s="61"/>
      <c r="G78" s="30" t="s">
        <v>12</v>
      </c>
      <c r="H78" s="116" t="s">
        <v>244</v>
      </c>
      <c r="I78" s="8" t="s">
        <v>7</v>
      </c>
      <c r="J78" s="33" t="s">
        <v>8</v>
      </c>
      <c r="K78" s="7" t="s">
        <v>13</v>
      </c>
      <c r="L78" s="9" t="s">
        <v>184</v>
      </c>
    </row>
    <row r="79" spans="1:15" ht="23.25" customHeight="1">
      <c r="A79" s="35">
        <v>58</v>
      </c>
      <c r="B79" s="41" t="s">
        <v>164</v>
      </c>
      <c r="C79" s="80" t="s">
        <v>165</v>
      </c>
      <c r="D79" s="87" t="s">
        <v>166</v>
      </c>
      <c r="E79" s="69">
        <v>3780</v>
      </c>
      <c r="F79" s="10"/>
      <c r="G79" s="44">
        <f>SUM(E79*5%)+(F79*5%)</f>
        <v>189</v>
      </c>
      <c r="H79" s="101"/>
      <c r="I79" s="133"/>
      <c r="J79" s="12"/>
      <c r="K79" s="57">
        <f t="shared" ref="K79:K99" si="12">SUM(G79:J79)</f>
        <v>189</v>
      </c>
      <c r="L79" s="47">
        <f t="shared" ref="L79:L99" si="13">SUM(E79+F79-K79)</f>
        <v>3591</v>
      </c>
      <c r="M79" s="24"/>
      <c r="N79" s="23"/>
    </row>
    <row r="80" spans="1:15" s="32" customFormat="1" ht="23.25" customHeight="1">
      <c r="A80" s="42">
        <v>59</v>
      </c>
      <c r="B80" s="49" t="s">
        <v>177</v>
      </c>
      <c r="C80" s="81" t="s">
        <v>178</v>
      </c>
      <c r="D80" s="64" t="s">
        <v>179</v>
      </c>
      <c r="E80" s="70">
        <v>3660</v>
      </c>
      <c r="F80" s="50"/>
      <c r="G80" s="44">
        <f>SUM(E80*5%)+(F80*5%)</f>
        <v>183</v>
      </c>
      <c r="H80" s="73"/>
      <c r="I80" s="133"/>
      <c r="J80" s="52"/>
      <c r="K80" s="57">
        <f t="shared" si="12"/>
        <v>183</v>
      </c>
      <c r="L80" s="47">
        <f t="shared" si="13"/>
        <v>3477</v>
      </c>
      <c r="M80" s="158"/>
      <c r="N80" s="146"/>
      <c r="O80" s="147"/>
    </row>
    <row r="81" spans="1:14" ht="23.25" customHeight="1">
      <c r="A81" s="42">
        <v>60</v>
      </c>
      <c r="B81" s="41" t="s">
        <v>192</v>
      </c>
      <c r="C81" s="80" t="s">
        <v>178</v>
      </c>
      <c r="D81" s="63" t="s">
        <v>199</v>
      </c>
      <c r="E81" s="70">
        <v>3660</v>
      </c>
      <c r="F81" s="10"/>
      <c r="G81" s="22">
        <f>SUM(E81*5%)+(F81*5%)</f>
        <v>183</v>
      </c>
      <c r="H81" s="101"/>
      <c r="I81" s="133"/>
      <c r="J81" s="12"/>
      <c r="K81" s="57">
        <f t="shared" si="12"/>
        <v>183</v>
      </c>
      <c r="L81" s="47">
        <f t="shared" si="13"/>
        <v>3477</v>
      </c>
      <c r="M81" s="24"/>
      <c r="N81" s="23"/>
    </row>
    <row r="82" spans="1:14" s="32" customFormat="1" ht="23.25" customHeight="1">
      <c r="A82" s="42">
        <v>61</v>
      </c>
      <c r="B82" s="36" t="s">
        <v>15</v>
      </c>
      <c r="C82" s="79" t="s">
        <v>245</v>
      </c>
      <c r="D82" s="62" t="s">
        <v>16</v>
      </c>
      <c r="E82" s="74">
        <v>3600</v>
      </c>
      <c r="F82" s="37"/>
      <c r="G82" s="75">
        <f>SUM(E82*5%)+(F82*5%)</f>
        <v>180</v>
      </c>
      <c r="H82" s="58"/>
      <c r="I82" s="131"/>
      <c r="J82" s="56"/>
      <c r="K82" s="76">
        <f t="shared" si="12"/>
        <v>180</v>
      </c>
      <c r="L82" s="77">
        <f t="shared" si="13"/>
        <v>3420</v>
      </c>
      <c r="M82" s="39"/>
      <c r="N82" s="40"/>
    </row>
    <row r="83" spans="1:14" s="32" customFormat="1" ht="23.25" customHeight="1">
      <c r="A83" s="42">
        <v>62</v>
      </c>
      <c r="B83" s="36" t="s">
        <v>327</v>
      </c>
      <c r="C83" s="79" t="s">
        <v>245</v>
      </c>
      <c r="D83" s="62" t="s">
        <v>329</v>
      </c>
      <c r="E83" s="69">
        <v>1920</v>
      </c>
      <c r="F83" s="43"/>
      <c r="G83" s="75"/>
      <c r="H83" s="59"/>
      <c r="I83" s="137"/>
      <c r="J83" s="46"/>
      <c r="K83" s="77">
        <f t="shared" si="12"/>
        <v>0</v>
      </c>
      <c r="L83" s="77">
        <f t="shared" si="13"/>
        <v>1920</v>
      </c>
      <c r="M83" s="213"/>
      <c r="N83" s="40"/>
    </row>
    <row r="84" spans="1:14" s="32" customFormat="1" ht="23.25" customHeight="1">
      <c r="A84" s="42">
        <v>63</v>
      </c>
      <c r="B84" s="36" t="s">
        <v>321</v>
      </c>
      <c r="C84" s="79" t="s">
        <v>55</v>
      </c>
      <c r="D84" s="62" t="s">
        <v>328</v>
      </c>
      <c r="E84" s="67">
        <v>1765.16</v>
      </c>
      <c r="F84" s="37"/>
      <c r="G84" s="22"/>
      <c r="H84" s="58"/>
      <c r="I84" s="151"/>
      <c r="J84" s="56"/>
      <c r="K84" s="38">
        <f t="shared" si="12"/>
        <v>0</v>
      </c>
      <c r="L84" s="47">
        <f>SUM(E84+F84-K84)</f>
        <v>1765.16</v>
      </c>
      <c r="M84" s="105"/>
      <c r="N84" s="40"/>
    </row>
    <row r="85" spans="1:14" s="32" customFormat="1" ht="23.25" customHeight="1">
      <c r="A85" s="42">
        <v>64</v>
      </c>
      <c r="B85" s="41" t="s">
        <v>272</v>
      </c>
      <c r="C85" s="80" t="s">
        <v>55</v>
      </c>
      <c r="D85" s="63" t="s">
        <v>273</v>
      </c>
      <c r="E85" s="70">
        <v>3060</v>
      </c>
      <c r="F85" s="37"/>
      <c r="G85" s="75">
        <f>SUM(E85*5%)+F85*5%</f>
        <v>153</v>
      </c>
      <c r="H85" s="59"/>
      <c r="I85" s="137"/>
      <c r="J85" s="46"/>
      <c r="K85" s="77">
        <f t="shared" si="12"/>
        <v>153</v>
      </c>
      <c r="L85" s="77">
        <f t="shared" si="13"/>
        <v>2907</v>
      </c>
      <c r="M85" s="39"/>
      <c r="N85" s="40"/>
    </row>
    <row r="86" spans="1:14" s="32" customFormat="1" ht="23.25" customHeight="1">
      <c r="A86" s="42">
        <v>65</v>
      </c>
      <c r="B86" s="41" t="s">
        <v>303</v>
      </c>
      <c r="C86" s="80" t="s">
        <v>358</v>
      </c>
      <c r="D86" s="63" t="s">
        <v>304</v>
      </c>
      <c r="E86" s="69">
        <v>3060</v>
      </c>
      <c r="F86" s="43"/>
      <c r="G86" s="75">
        <f t="shared" ref="G86:G98" si="14">SUM(E86*5%)+F86*5%</f>
        <v>153</v>
      </c>
      <c r="H86" s="59"/>
      <c r="I86" s="133"/>
      <c r="J86" s="46"/>
      <c r="K86" s="57">
        <f t="shared" si="12"/>
        <v>153</v>
      </c>
      <c r="L86" s="47">
        <f t="shared" si="13"/>
        <v>2907</v>
      </c>
      <c r="M86" s="34"/>
      <c r="N86" s="40"/>
    </row>
    <row r="87" spans="1:14" s="32" customFormat="1" ht="23.25" customHeight="1">
      <c r="A87" s="42">
        <v>66</v>
      </c>
      <c r="B87" s="106" t="s">
        <v>276</v>
      </c>
      <c r="C87" s="84" t="s">
        <v>277</v>
      </c>
      <c r="D87" s="107" t="s">
        <v>278</v>
      </c>
      <c r="E87" s="70">
        <v>3060</v>
      </c>
      <c r="F87" s="37"/>
      <c r="G87" s="75">
        <f t="shared" si="14"/>
        <v>153</v>
      </c>
      <c r="H87" s="59"/>
      <c r="I87" s="137"/>
      <c r="J87" s="46"/>
      <c r="K87" s="77">
        <f t="shared" si="12"/>
        <v>153</v>
      </c>
      <c r="L87" s="77">
        <f t="shared" si="13"/>
        <v>2907</v>
      </c>
      <c r="M87" s="39"/>
      <c r="N87" s="40"/>
    </row>
    <row r="88" spans="1:14" s="32" customFormat="1" ht="23.25" customHeight="1">
      <c r="A88" s="42">
        <v>67</v>
      </c>
      <c r="B88" s="41" t="s">
        <v>356</v>
      </c>
      <c r="C88" s="85" t="s">
        <v>285</v>
      </c>
      <c r="D88" s="63" t="s">
        <v>357</v>
      </c>
      <c r="E88" s="69">
        <v>2880</v>
      </c>
      <c r="F88" s="43"/>
      <c r="G88" s="75">
        <f t="shared" si="14"/>
        <v>144</v>
      </c>
      <c r="H88" s="94"/>
      <c r="I88" s="135"/>
      <c r="J88" s="46"/>
      <c r="K88" s="76">
        <f t="shared" si="12"/>
        <v>144</v>
      </c>
      <c r="L88" s="76">
        <f t="shared" si="13"/>
        <v>2736</v>
      </c>
      <c r="M88" s="39"/>
      <c r="N88" s="40"/>
    </row>
    <row r="89" spans="1:14" s="32" customFormat="1" ht="23.25" customHeight="1">
      <c r="A89" s="42">
        <v>68</v>
      </c>
      <c r="B89" s="41" t="s">
        <v>288</v>
      </c>
      <c r="C89" s="85" t="s">
        <v>289</v>
      </c>
      <c r="D89" s="63" t="s">
        <v>290</v>
      </c>
      <c r="E89" s="69">
        <v>3060</v>
      </c>
      <c r="F89" s="159"/>
      <c r="G89" s="75">
        <f t="shared" si="14"/>
        <v>153</v>
      </c>
      <c r="H89" s="94"/>
      <c r="I89" s="135"/>
      <c r="J89" s="46"/>
      <c r="K89" s="76">
        <f t="shared" si="12"/>
        <v>153</v>
      </c>
      <c r="L89" s="76">
        <f t="shared" si="13"/>
        <v>2907</v>
      </c>
      <c r="M89" s="39"/>
      <c r="N89" s="40"/>
    </row>
    <row r="90" spans="1:14" ht="23.25" customHeight="1">
      <c r="A90" s="42">
        <v>69</v>
      </c>
      <c r="B90" s="41" t="s">
        <v>291</v>
      </c>
      <c r="C90" s="85" t="s">
        <v>292</v>
      </c>
      <c r="D90" s="63" t="s">
        <v>293</v>
      </c>
      <c r="E90" s="69">
        <v>3060</v>
      </c>
      <c r="F90" s="168"/>
      <c r="G90" s="75">
        <f t="shared" si="14"/>
        <v>153</v>
      </c>
      <c r="H90" s="11"/>
      <c r="I90" s="139"/>
      <c r="J90" s="12"/>
      <c r="K90" s="57">
        <f t="shared" si="12"/>
        <v>153</v>
      </c>
      <c r="L90" s="47">
        <f t="shared" si="13"/>
        <v>2907</v>
      </c>
      <c r="M90" s="24"/>
      <c r="N90" s="23"/>
    </row>
    <row r="91" spans="1:14" s="32" customFormat="1" ht="23.25" customHeight="1">
      <c r="A91" s="42">
        <v>70</v>
      </c>
      <c r="B91" s="41" t="s">
        <v>279</v>
      </c>
      <c r="C91" s="85" t="s">
        <v>280</v>
      </c>
      <c r="D91" s="63" t="s">
        <v>281</v>
      </c>
      <c r="E91" s="69">
        <v>3060</v>
      </c>
      <c r="F91" s="43"/>
      <c r="G91" s="75">
        <f t="shared" si="14"/>
        <v>153</v>
      </c>
      <c r="H91" s="59"/>
      <c r="I91" s="133"/>
      <c r="J91" s="46"/>
      <c r="K91" s="76">
        <f t="shared" si="12"/>
        <v>153</v>
      </c>
      <c r="L91" s="76">
        <f t="shared" si="13"/>
        <v>2907</v>
      </c>
      <c r="M91" s="39"/>
      <c r="N91" s="40"/>
    </row>
    <row r="92" spans="1:14" s="32" customFormat="1" ht="23.25" customHeight="1">
      <c r="A92" s="42">
        <v>71</v>
      </c>
      <c r="B92" s="41" t="s">
        <v>316</v>
      </c>
      <c r="C92" s="80" t="s">
        <v>62</v>
      </c>
      <c r="D92" s="63" t="s">
        <v>317</v>
      </c>
      <c r="E92" s="69">
        <v>2880</v>
      </c>
      <c r="F92" s="43"/>
      <c r="G92" s="75">
        <f t="shared" si="14"/>
        <v>144</v>
      </c>
      <c r="H92" s="59"/>
      <c r="I92" s="133"/>
      <c r="J92" s="46"/>
      <c r="K92" s="57">
        <f t="shared" si="12"/>
        <v>144</v>
      </c>
      <c r="L92" s="47">
        <f t="shared" si="13"/>
        <v>2736</v>
      </c>
      <c r="M92" s="39"/>
      <c r="N92" s="40"/>
    </row>
    <row r="93" spans="1:14" ht="23.25" customHeight="1">
      <c r="A93" s="42">
        <v>72</v>
      </c>
      <c r="B93" s="41" t="s">
        <v>238</v>
      </c>
      <c r="C93" s="80" t="s">
        <v>62</v>
      </c>
      <c r="D93" s="87" t="s">
        <v>123</v>
      </c>
      <c r="E93" s="68">
        <v>3840</v>
      </c>
      <c r="F93" s="168"/>
      <c r="G93" s="75">
        <f t="shared" si="14"/>
        <v>192</v>
      </c>
      <c r="H93" s="101"/>
      <c r="I93" s="133"/>
      <c r="J93" s="12"/>
      <c r="K93" s="57">
        <f t="shared" si="12"/>
        <v>192</v>
      </c>
      <c r="L93" s="47">
        <f t="shared" si="13"/>
        <v>3648</v>
      </c>
      <c r="M93" s="24"/>
      <c r="N93" s="23"/>
    </row>
    <row r="94" spans="1:14" ht="23.25" customHeight="1">
      <c r="A94" s="42">
        <v>73</v>
      </c>
      <c r="B94" s="41" t="s">
        <v>338</v>
      </c>
      <c r="C94" s="80" t="s">
        <v>62</v>
      </c>
      <c r="D94" s="87" t="s">
        <v>339</v>
      </c>
      <c r="E94" s="69">
        <v>2880</v>
      </c>
      <c r="F94" s="10"/>
      <c r="G94" s="75">
        <f t="shared" si="14"/>
        <v>144</v>
      </c>
      <c r="H94" s="11"/>
      <c r="I94" s="133"/>
      <c r="J94" s="12"/>
      <c r="K94" s="57">
        <f t="shared" si="12"/>
        <v>144</v>
      </c>
      <c r="L94" s="47">
        <f t="shared" si="13"/>
        <v>2736</v>
      </c>
      <c r="M94" s="24"/>
      <c r="N94" s="23"/>
    </row>
    <row r="95" spans="1:14" s="147" customFormat="1" ht="23.25" customHeight="1">
      <c r="A95" s="42">
        <v>74</v>
      </c>
      <c r="B95" s="41" t="s">
        <v>343</v>
      </c>
      <c r="C95" s="80" t="s">
        <v>62</v>
      </c>
      <c r="D95" s="63" t="s">
        <v>344</v>
      </c>
      <c r="E95" s="69">
        <v>2880</v>
      </c>
      <c r="F95" s="43"/>
      <c r="G95" s="75">
        <f t="shared" si="14"/>
        <v>144</v>
      </c>
      <c r="H95" s="59"/>
      <c r="I95" s="137"/>
      <c r="J95" s="46"/>
      <c r="K95" s="57">
        <f t="shared" si="12"/>
        <v>144</v>
      </c>
      <c r="L95" s="47">
        <f t="shared" si="13"/>
        <v>2736</v>
      </c>
      <c r="M95" s="145"/>
      <c r="N95" s="146"/>
    </row>
    <row r="96" spans="1:14" ht="23.25" customHeight="1">
      <c r="A96" s="42">
        <v>75</v>
      </c>
      <c r="B96" s="41" t="s">
        <v>124</v>
      </c>
      <c r="C96" s="80" t="s">
        <v>66</v>
      </c>
      <c r="D96" s="87" t="s">
        <v>125</v>
      </c>
      <c r="E96" s="68">
        <v>650</v>
      </c>
      <c r="F96" s="10"/>
      <c r="G96" s="75"/>
      <c r="H96" s="11"/>
      <c r="I96" s="133"/>
      <c r="J96" s="12"/>
      <c r="K96" s="57">
        <f t="shared" si="12"/>
        <v>0</v>
      </c>
      <c r="L96" s="47">
        <f t="shared" si="13"/>
        <v>650</v>
      </c>
      <c r="M96" s="105"/>
      <c r="N96" s="23"/>
    </row>
    <row r="97" spans="1:14" s="32" customFormat="1" ht="23.25" customHeight="1">
      <c r="A97" s="42">
        <v>76</v>
      </c>
      <c r="B97" s="41" t="s">
        <v>413</v>
      </c>
      <c r="C97" s="80" t="s">
        <v>66</v>
      </c>
      <c r="D97" s="63" t="s">
        <v>67</v>
      </c>
      <c r="E97" s="69">
        <v>610</v>
      </c>
      <c r="F97" s="43"/>
      <c r="G97" s="75"/>
      <c r="H97" s="59"/>
      <c r="I97" s="133"/>
      <c r="J97" s="52"/>
      <c r="K97" s="57">
        <f t="shared" si="12"/>
        <v>0</v>
      </c>
      <c r="L97" s="47">
        <f t="shared" si="13"/>
        <v>610</v>
      </c>
      <c r="M97" s="105"/>
      <c r="N97" s="40"/>
    </row>
    <row r="98" spans="1:14" s="32" customFormat="1" ht="23.25" customHeight="1">
      <c r="A98" s="42">
        <v>77</v>
      </c>
      <c r="B98" s="41" t="s">
        <v>68</v>
      </c>
      <c r="C98" s="80" t="s">
        <v>66</v>
      </c>
      <c r="D98" s="63" t="s">
        <v>69</v>
      </c>
      <c r="E98" s="69">
        <v>3660</v>
      </c>
      <c r="F98" s="43"/>
      <c r="G98" s="75">
        <f t="shared" si="14"/>
        <v>183</v>
      </c>
      <c r="H98" s="59"/>
      <c r="I98" s="133"/>
      <c r="J98" s="46"/>
      <c r="K98" s="57">
        <f t="shared" si="12"/>
        <v>183</v>
      </c>
      <c r="L98" s="47">
        <f t="shared" si="13"/>
        <v>3477</v>
      </c>
      <c r="M98" s="39"/>
      <c r="N98" s="40"/>
    </row>
    <row r="99" spans="1:14" s="32" customFormat="1" ht="23.25" customHeight="1">
      <c r="A99" s="42">
        <v>78</v>
      </c>
      <c r="B99" s="41" t="s">
        <v>85</v>
      </c>
      <c r="C99" s="80" t="s">
        <v>66</v>
      </c>
      <c r="D99" s="63" t="s">
        <v>86</v>
      </c>
      <c r="E99" s="69">
        <v>480</v>
      </c>
      <c r="F99" s="43"/>
      <c r="G99" s="75"/>
      <c r="H99" s="59"/>
      <c r="I99" s="137"/>
      <c r="J99" s="46"/>
      <c r="K99" s="57">
        <f t="shared" si="12"/>
        <v>0</v>
      </c>
      <c r="L99" s="47">
        <f t="shared" si="13"/>
        <v>480</v>
      </c>
      <c r="M99" s="105"/>
      <c r="N99" s="40"/>
    </row>
    <row r="100" spans="1:14" ht="23.25" customHeight="1" thickBot="1">
      <c r="A100" s="19"/>
      <c r="B100" s="19" t="s">
        <v>4</v>
      </c>
      <c r="C100" s="20"/>
      <c r="D100" s="21">
        <f>SUM(D25,D45:D46)</f>
        <v>0</v>
      </c>
      <c r="E100" s="31">
        <f t="shared" ref="E100:L100" si="15">SUM(E75,E79:E99)</f>
        <v>241088.45</v>
      </c>
      <c r="F100" s="31">
        <f t="shared" si="15"/>
        <v>0</v>
      </c>
      <c r="G100" s="31">
        <f t="shared" si="15"/>
        <v>11513</v>
      </c>
      <c r="H100" s="31">
        <f t="shared" si="15"/>
        <v>0</v>
      </c>
      <c r="I100" s="31">
        <f t="shared" si="15"/>
        <v>0</v>
      </c>
      <c r="J100" s="111">
        <f t="shared" si="15"/>
        <v>0</v>
      </c>
      <c r="K100" s="31">
        <f t="shared" si="15"/>
        <v>11513</v>
      </c>
      <c r="L100" s="31">
        <f t="shared" si="15"/>
        <v>229575.45</v>
      </c>
      <c r="M100" s="25"/>
      <c r="N100" s="23"/>
    </row>
    <row r="101" spans="1:14" s="13" customFormat="1" ht="23.25" customHeight="1" thickTop="1">
      <c r="A101" s="448">
        <v>5</v>
      </c>
      <c r="B101" s="448"/>
      <c r="C101" s="448"/>
      <c r="D101" s="448"/>
      <c r="E101" s="448"/>
      <c r="F101" s="448"/>
      <c r="G101" s="448"/>
      <c r="H101" s="448"/>
      <c r="I101" s="448"/>
      <c r="J101" s="448"/>
      <c r="K101" s="448"/>
      <c r="L101" s="448"/>
      <c r="M101" s="15"/>
      <c r="N101" s="26"/>
    </row>
    <row r="102" spans="1:14" ht="23.25" customHeight="1">
      <c r="A102" s="449" t="s">
        <v>1</v>
      </c>
      <c r="B102" s="451" t="s">
        <v>2</v>
      </c>
      <c r="C102" s="449" t="s">
        <v>9</v>
      </c>
      <c r="D102" s="449" t="s">
        <v>10</v>
      </c>
      <c r="E102" s="454" t="s">
        <v>11</v>
      </c>
      <c r="F102" s="93" t="s">
        <v>230</v>
      </c>
      <c r="G102" s="456" t="s">
        <v>14</v>
      </c>
      <c r="H102" s="457"/>
      <c r="I102" s="457"/>
      <c r="J102" s="458"/>
      <c r="K102" s="6" t="s">
        <v>6</v>
      </c>
      <c r="L102" s="6" t="s">
        <v>3</v>
      </c>
    </row>
    <row r="103" spans="1:14" ht="23.25" customHeight="1">
      <c r="A103" s="450"/>
      <c r="B103" s="452"/>
      <c r="C103" s="453"/>
      <c r="D103" s="453"/>
      <c r="E103" s="455"/>
      <c r="F103" s="61"/>
      <c r="G103" s="30" t="s">
        <v>12</v>
      </c>
      <c r="H103" s="116" t="s">
        <v>244</v>
      </c>
      <c r="I103" s="8" t="s">
        <v>7</v>
      </c>
      <c r="J103" s="33" t="s">
        <v>8</v>
      </c>
      <c r="K103" s="7" t="s">
        <v>13</v>
      </c>
      <c r="L103" s="9" t="s">
        <v>184</v>
      </c>
    </row>
    <row r="104" spans="1:14" ht="23.25" customHeight="1">
      <c r="A104" s="35">
        <v>79</v>
      </c>
      <c r="B104" s="49" t="s">
        <v>126</v>
      </c>
      <c r="C104" s="81" t="s">
        <v>74</v>
      </c>
      <c r="D104" s="82" t="s">
        <v>127</v>
      </c>
      <c r="E104" s="68">
        <v>650</v>
      </c>
      <c r="F104" s="10"/>
      <c r="G104" s="51"/>
      <c r="H104" s="16"/>
      <c r="I104" s="150"/>
      <c r="J104" s="17"/>
      <c r="K104" s="57">
        <f t="shared" ref="K104:K124" si="16">SUM(G104:J104)</f>
        <v>0</v>
      </c>
      <c r="L104" s="47">
        <f t="shared" ref="L104:L124" si="17">SUM(E104+F104-K104)</f>
        <v>650</v>
      </c>
      <c r="M104" s="24"/>
      <c r="N104" s="23"/>
    </row>
    <row r="105" spans="1:14" ht="23.25" customHeight="1">
      <c r="A105" s="42">
        <v>80</v>
      </c>
      <c r="B105" s="41" t="s">
        <v>229</v>
      </c>
      <c r="C105" s="80" t="s">
        <v>74</v>
      </c>
      <c r="D105" s="87" t="s">
        <v>231</v>
      </c>
      <c r="E105" s="69">
        <v>3360</v>
      </c>
      <c r="F105" s="43"/>
      <c r="G105" s="51">
        <f t="shared" ref="G105:G110" si="18">SUM(E105*5%)+(F105*5%)</f>
        <v>168</v>
      </c>
      <c r="H105" s="11"/>
      <c r="I105" s="139"/>
      <c r="J105" s="12"/>
      <c r="K105" s="57">
        <f t="shared" si="16"/>
        <v>168</v>
      </c>
      <c r="L105" s="47">
        <f t="shared" si="17"/>
        <v>3192</v>
      </c>
      <c r="M105" s="24"/>
      <c r="N105" s="23"/>
    </row>
    <row r="106" spans="1:14" ht="23.25" customHeight="1">
      <c r="A106" s="42">
        <v>81</v>
      </c>
      <c r="B106" s="49" t="s">
        <v>128</v>
      </c>
      <c r="C106" s="81" t="s">
        <v>79</v>
      </c>
      <c r="D106" s="82" t="s">
        <v>129</v>
      </c>
      <c r="E106" s="68">
        <v>3900</v>
      </c>
      <c r="F106" s="10"/>
      <c r="G106" s="51">
        <f t="shared" si="18"/>
        <v>195</v>
      </c>
      <c r="H106" s="16"/>
      <c r="I106" s="133"/>
      <c r="J106" s="18"/>
      <c r="K106" s="57">
        <f t="shared" si="16"/>
        <v>195</v>
      </c>
      <c r="L106" s="47">
        <f t="shared" si="17"/>
        <v>3705</v>
      </c>
      <c r="M106" s="13"/>
      <c r="N106" s="23"/>
    </row>
    <row r="107" spans="1:14" ht="23.25" customHeight="1">
      <c r="A107" s="42">
        <v>82</v>
      </c>
      <c r="B107" s="49" t="s">
        <v>239</v>
      </c>
      <c r="C107" s="81" t="s">
        <v>79</v>
      </c>
      <c r="D107" s="82" t="s">
        <v>130</v>
      </c>
      <c r="E107" s="68">
        <v>3900</v>
      </c>
      <c r="F107" s="10"/>
      <c r="G107" s="51">
        <f t="shared" si="18"/>
        <v>195</v>
      </c>
      <c r="H107" s="99"/>
      <c r="I107" s="133"/>
      <c r="J107" s="18"/>
      <c r="K107" s="57">
        <f t="shared" si="16"/>
        <v>195</v>
      </c>
      <c r="L107" s="47">
        <f t="shared" si="17"/>
        <v>3705</v>
      </c>
      <c r="M107" s="13"/>
      <c r="N107" s="23"/>
    </row>
    <row r="108" spans="1:14" s="32" customFormat="1" ht="23.25" customHeight="1">
      <c r="A108" s="42">
        <v>83</v>
      </c>
      <c r="B108" s="41" t="s">
        <v>78</v>
      </c>
      <c r="C108" s="80" t="s">
        <v>79</v>
      </c>
      <c r="D108" s="63" t="s">
        <v>80</v>
      </c>
      <c r="E108" s="69">
        <v>3600</v>
      </c>
      <c r="F108" s="43"/>
      <c r="G108" s="51">
        <f t="shared" si="18"/>
        <v>180</v>
      </c>
      <c r="H108" s="94"/>
      <c r="I108" s="137"/>
      <c r="J108" s="46"/>
      <c r="K108" s="57">
        <f t="shared" si="16"/>
        <v>180</v>
      </c>
      <c r="L108" s="47">
        <f t="shared" si="17"/>
        <v>3420</v>
      </c>
      <c r="M108" s="34"/>
      <c r="N108" s="40"/>
    </row>
    <row r="109" spans="1:14" s="32" customFormat="1" ht="23.25" customHeight="1">
      <c r="A109" s="42">
        <v>84</v>
      </c>
      <c r="B109" s="36" t="s">
        <v>81</v>
      </c>
      <c r="C109" s="79" t="s">
        <v>79</v>
      </c>
      <c r="D109" s="62" t="s">
        <v>82</v>
      </c>
      <c r="E109" s="69">
        <v>3660</v>
      </c>
      <c r="F109" s="43"/>
      <c r="G109" s="51">
        <f t="shared" si="18"/>
        <v>183</v>
      </c>
      <c r="H109" s="160"/>
      <c r="I109" s="133"/>
      <c r="J109" s="52"/>
      <c r="K109" s="57">
        <f t="shared" si="16"/>
        <v>183</v>
      </c>
      <c r="L109" s="47">
        <f t="shared" si="17"/>
        <v>3477</v>
      </c>
      <c r="M109" s="39"/>
      <c r="N109" s="40"/>
    </row>
    <row r="110" spans="1:14" ht="23.25" customHeight="1">
      <c r="A110" s="42">
        <v>85</v>
      </c>
      <c r="B110" s="49" t="s">
        <v>131</v>
      </c>
      <c r="C110" s="81" t="s">
        <v>83</v>
      </c>
      <c r="D110" s="82" t="s">
        <v>132</v>
      </c>
      <c r="E110" s="71">
        <v>3900</v>
      </c>
      <c r="F110" s="10"/>
      <c r="G110" s="51">
        <f t="shared" si="18"/>
        <v>195</v>
      </c>
      <c r="H110" s="99"/>
      <c r="I110" s="133"/>
      <c r="J110" s="52"/>
      <c r="K110" s="57">
        <f t="shared" si="16"/>
        <v>195</v>
      </c>
      <c r="L110" s="47">
        <f t="shared" si="17"/>
        <v>3705</v>
      </c>
      <c r="M110" s="13"/>
      <c r="N110" s="23"/>
    </row>
    <row r="111" spans="1:14" s="32" customFormat="1" ht="23.25" customHeight="1">
      <c r="A111" s="42">
        <v>86</v>
      </c>
      <c r="B111" s="41" t="s">
        <v>414</v>
      </c>
      <c r="C111" s="80" t="s">
        <v>83</v>
      </c>
      <c r="D111" s="63" t="s">
        <v>84</v>
      </c>
      <c r="E111" s="69">
        <v>610</v>
      </c>
      <c r="F111" s="43"/>
      <c r="G111" s="51"/>
      <c r="H111" s="59"/>
      <c r="I111" s="133"/>
      <c r="J111" s="46"/>
      <c r="K111" s="57">
        <f t="shared" si="16"/>
        <v>0</v>
      </c>
      <c r="L111" s="47">
        <f t="shared" si="17"/>
        <v>610</v>
      </c>
      <c r="M111" s="105"/>
      <c r="N111" s="40"/>
    </row>
    <row r="112" spans="1:14" s="32" customFormat="1" ht="23.25" customHeight="1">
      <c r="A112" s="42">
        <v>87</v>
      </c>
      <c r="B112" s="36" t="s">
        <v>326</v>
      </c>
      <c r="C112" s="84" t="s">
        <v>83</v>
      </c>
      <c r="D112" s="62" t="s">
        <v>335</v>
      </c>
      <c r="E112" s="70">
        <v>2880</v>
      </c>
      <c r="F112" s="37"/>
      <c r="G112" s="75">
        <f>SUM(E112*5%)+F112*5%</f>
        <v>144</v>
      </c>
      <c r="H112" s="100"/>
      <c r="I112" s="133"/>
      <c r="J112" s="46"/>
      <c r="K112" s="77">
        <f t="shared" si="16"/>
        <v>144</v>
      </c>
      <c r="L112" s="77">
        <f t="shared" si="17"/>
        <v>2736</v>
      </c>
      <c r="M112" s="39"/>
      <c r="N112" s="40"/>
    </row>
    <row r="113" spans="1:14" s="32" customFormat="1" ht="23.25" customHeight="1">
      <c r="A113" s="42">
        <v>88</v>
      </c>
      <c r="B113" s="49" t="s">
        <v>133</v>
      </c>
      <c r="C113" s="81" t="s">
        <v>355</v>
      </c>
      <c r="D113" s="64" t="s">
        <v>134</v>
      </c>
      <c r="E113" s="70">
        <v>3960</v>
      </c>
      <c r="F113" s="50"/>
      <c r="G113" s="75">
        <f t="shared" ref="G113:G123" si="19">SUM(E113*5%)+F113*5%</f>
        <v>198</v>
      </c>
      <c r="H113" s="207"/>
      <c r="I113" s="133"/>
      <c r="J113" s="52"/>
      <c r="K113" s="57">
        <f t="shared" si="16"/>
        <v>198</v>
      </c>
      <c r="L113" s="47">
        <f t="shared" si="17"/>
        <v>3762</v>
      </c>
      <c r="M113" s="34"/>
      <c r="N113" s="40"/>
    </row>
    <row r="114" spans="1:14" ht="23.25" customHeight="1">
      <c r="A114" s="42">
        <v>89</v>
      </c>
      <c r="B114" s="41" t="s">
        <v>348</v>
      </c>
      <c r="C114" s="80" t="s">
        <v>147</v>
      </c>
      <c r="D114" s="87" t="s">
        <v>350</v>
      </c>
      <c r="E114" s="68">
        <v>2880</v>
      </c>
      <c r="F114" s="37"/>
      <c r="G114" s="75">
        <f t="shared" si="19"/>
        <v>144</v>
      </c>
      <c r="H114" s="11"/>
      <c r="I114" s="133"/>
      <c r="J114" s="12"/>
      <c r="K114" s="57">
        <f t="shared" si="16"/>
        <v>144</v>
      </c>
      <c r="L114" s="47">
        <f t="shared" si="17"/>
        <v>2736</v>
      </c>
      <c r="M114" s="24"/>
      <c r="N114" s="23"/>
    </row>
    <row r="115" spans="1:14" s="32" customFormat="1" ht="23.25" customHeight="1">
      <c r="A115" s="42">
        <v>90</v>
      </c>
      <c r="B115" s="41" t="s">
        <v>135</v>
      </c>
      <c r="C115" s="80" t="s">
        <v>92</v>
      </c>
      <c r="D115" s="63" t="s">
        <v>136</v>
      </c>
      <c r="E115" s="69">
        <v>3840</v>
      </c>
      <c r="F115" s="43"/>
      <c r="G115" s="75">
        <f>SUM(E115*5%)+F115*5%</f>
        <v>192</v>
      </c>
      <c r="H115" s="100"/>
      <c r="I115" s="133"/>
      <c r="J115" s="46"/>
      <c r="K115" s="57">
        <f t="shared" si="16"/>
        <v>192</v>
      </c>
      <c r="L115" s="47">
        <f t="shared" si="17"/>
        <v>3648</v>
      </c>
      <c r="M115" s="34"/>
      <c r="N115" s="40"/>
    </row>
    <row r="116" spans="1:14" s="32" customFormat="1" ht="23.25" customHeight="1">
      <c r="A116" s="42">
        <v>91</v>
      </c>
      <c r="B116" s="41" t="s">
        <v>91</v>
      </c>
      <c r="C116" s="80" t="s">
        <v>92</v>
      </c>
      <c r="D116" s="63" t="s">
        <v>93</v>
      </c>
      <c r="E116" s="69">
        <v>3660</v>
      </c>
      <c r="F116" s="43"/>
      <c r="G116" s="75">
        <f t="shared" si="19"/>
        <v>183</v>
      </c>
      <c r="H116" s="209"/>
      <c r="I116" s="133"/>
      <c r="J116" s="46"/>
      <c r="K116" s="57">
        <f t="shared" si="16"/>
        <v>183</v>
      </c>
      <c r="L116" s="47">
        <f t="shared" si="17"/>
        <v>3477</v>
      </c>
      <c r="M116" s="39"/>
      <c r="N116" s="40"/>
    </row>
    <row r="117" spans="1:14" ht="23.25" customHeight="1">
      <c r="A117" s="42">
        <v>92</v>
      </c>
      <c r="B117" s="41" t="s">
        <v>94</v>
      </c>
      <c r="C117" s="80" t="s">
        <v>92</v>
      </c>
      <c r="D117" s="87" t="s">
        <v>95</v>
      </c>
      <c r="E117" s="69">
        <v>3660</v>
      </c>
      <c r="F117" s="43"/>
      <c r="G117" s="75">
        <f t="shared" si="19"/>
        <v>183</v>
      </c>
      <c r="H117" s="101"/>
      <c r="I117" s="133"/>
      <c r="J117" s="12"/>
      <c r="K117" s="57">
        <f t="shared" si="16"/>
        <v>183</v>
      </c>
      <c r="L117" s="47">
        <f t="shared" si="17"/>
        <v>3477</v>
      </c>
      <c r="M117" s="24"/>
      <c r="N117" s="23"/>
    </row>
    <row r="118" spans="1:14" s="32" customFormat="1" ht="23.25" customHeight="1">
      <c r="A118" s="42">
        <v>93</v>
      </c>
      <c r="B118" s="41" t="s">
        <v>59</v>
      </c>
      <c r="C118" s="80" t="s">
        <v>60</v>
      </c>
      <c r="D118" s="63" t="s">
        <v>61</v>
      </c>
      <c r="E118" s="69">
        <v>610</v>
      </c>
      <c r="F118" s="43"/>
      <c r="G118" s="75"/>
      <c r="H118" s="59"/>
      <c r="I118" s="133"/>
      <c r="J118" s="46"/>
      <c r="K118" s="57">
        <f t="shared" si="16"/>
        <v>0</v>
      </c>
      <c r="L118" s="47">
        <f t="shared" si="17"/>
        <v>610</v>
      </c>
      <c r="M118" s="39"/>
      <c r="N118" s="40"/>
    </row>
    <row r="119" spans="1:14" s="32" customFormat="1" ht="23.25" customHeight="1">
      <c r="A119" s="42">
        <v>94</v>
      </c>
      <c r="B119" s="41" t="s">
        <v>252</v>
      </c>
      <c r="C119" s="80" t="s">
        <v>60</v>
      </c>
      <c r="D119" s="63" t="s">
        <v>253</v>
      </c>
      <c r="E119" s="69">
        <v>612</v>
      </c>
      <c r="F119" s="37"/>
      <c r="G119" s="75"/>
      <c r="H119" s="59"/>
      <c r="I119" s="133"/>
      <c r="J119" s="46"/>
      <c r="K119" s="57">
        <f t="shared" si="16"/>
        <v>0</v>
      </c>
      <c r="L119" s="47">
        <f t="shared" si="17"/>
        <v>612</v>
      </c>
      <c r="M119" s="39"/>
      <c r="N119" s="40"/>
    </row>
    <row r="120" spans="1:14" s="32" customFormat="1" ht="23.25" customHeight="1">
      <c r="A120" s="42">
        <v>95</v>
      </c>
      <c r="B120" s="49" t="s">
        <v>333</v>
      </c>
      <c r="C120" s="81" t="s">
        <v>60</v>
      </c>
      <c r="D120" s="64" t="s">
        <v>334</v>
      </c>
      <c r="E120" s="70">
        <v>2880</v>
      </c>
      <c r="F120" s="152"/>
      <c r="G120" s="75">
        <f t="shared" si="19"/>
        <v>144</v>
      </c>
      <c r="H120" s="59"/>
      <c r="I120" s="151"/>
      <c r="J120" s="46"/>
      <c r="K120" s="77">
        <f t="shared" si="16"/>
        <v>144</v>
      </c>
      <c r="L120" s="77">
        <f t="shared" si="17"/>
        <v>2736</v>
      </c>
      <c r="M120" s="105"/>
      <c r="N120" s="40"/>
    </row>
    <row r="121" spans="1:14" s="32" customFormat="1" ht="23.25" customHeight="1">
      <c r="A121" s="42">
        <v>96</v>
      </c>
      <c r="B121" s="41" t="s">
        <v>322</v>
      </c>
      <c r="C121" s="80" t="s">
        <v>64</v>
      </c>
      <c r="D121" s="63" t="s">
        <v>313</v>
      </c>
      <c r="E121" s="69">
        <v>2880</v>
      </c>
      <c r="F121" s="43"/>
      <c r="G121" s="75">
        <f t="shared" si="19"/>
        <v>144</v>
      </c>
      <c r="H121" s="59"/>
      <c r="I121" s="133"/>
      <c r="J121" s="46"/>
      <c r="K121" s="57">
        <f t="shared" si="16"/>
        <v>144</v>
      </c>
      <c r="L121" s="47">
        <f t="shared" si="17"/>
        <v>2736</v>
      </c>
      <c r="M121" s="39"/>
      <c r="N121" s="40"/>
    </row>
    <row r="122" spans="1:14" s="32" customFormat="1" ht="23.25" customHeight="1">
      <c r="A122" s="42">
        <v>97</v>
      </c>
      <c r="B122" s="41" t="s">
        <v>63</v>
      </c>
      <c r="C122" s="80" t="s">
        <v>64</v>
      </c>
      <c r="D122" s="63" t="s">
        <v>65</v>
      </c>
      <c r="E122" s="69">
        <v>3660</v>
      </c>
      <c r="F122" s="43"/>
      <c r="G122" s="75">
        <f t="shared" si="19"/>
        <v>183</v>
      </c>
      <c r="H122" s="179"/>
      <c r="I122" s="133"/>
      <c r="J122" s="52"/>
      <c r="K122" s="57">
        <f t="shared" si="16"/>
        <v>183</v>
      </c>
      <c r="L122" s="47">
        <f t="shared" si="17"/>
        <v>3477</v>
      </c>
      <c r="M122" s="39"/>
      <c r="N122" s="40"/>
    </row>
    <row r="123" spans="1:14" s="32" customFormat="1" ht="23.25" customHeight="1">
      <c r="A123" s="42">
        <v>98</v>
      </c>
      <c r="B123" s="49" t="s">
        <v>71</v>
      </c>
      <c r="C123" s="81" t="s">
        <v>70</v>
      </c>
      <c r="D123" s="64" t="s">
        <v>72</v>
      </c>
      <c r="E123" s="69">
        <v>3660</v>
      </c>
      <c r="F123" s="43"/>
      <c r="G123" s="75">
        <f t="shared" si="19"/>
        <v>183</v>
      </c>
      <c r="H123" s="73"/>
      <c r="I123" s="133"/>
      <c r="J123" s="52"/>
      <c r="K123" s="57">
        <f t="shared" si="16"/>
        <v>183</v>
      </c>
      <c r="L123" s="47">
        <f t="shared" si="17"/>
        <v>3477</v>
      </c>
      <c r="M123" s="34"/>
      <c r="N123" s="40"/>
    </row>
    <row r="124" spans="1:14" ht="23.25" customHeight="1">
      <c r="A124" s="35">
        <v>99</v>
      </c>
      <c r="B124" s="49" t="s">
        <v>297</v>
      </c>
      <c r="C124" s="86" t="s">
        <v>70</v>
      </c>
      <c r="D124" s="64" t="s">
        <v>298</v>
      </c>
      <c r="E124" s="70">
        <v>2319.6799999999998</v>
      </c>
      <c r="F124" s="10"/>
      <c r="G124" s="75">
        <f>SUM(E124*5%)+F124*5%+0.02</f>
        <v>116.00399999999999</v>
      </c>
      <c r="H124" s="16"/>
      <c r="I124" s="133"/>
      <c r="J124" s="17"/>
      <c r="K124" s="57">
        <f t="shared" si="16"/>
        <v>116.00399999999999</v>
      </c>
      <c r="L124" s="47">
        <f t="shared" si="17"/>
        <v>2203.6759999999999</v>
      </c>
      <c r="M124" s="24"/>
      <c r="N124" s="23"/>
    </row>
    <row r="125" spans="1:14" ht="23.25" customHeight="1" thickBot="1">
      <c r="A125" s="19"/>
      <c r="B125" s="19" t="s">
        <v>4</v>
      </c>
      <c r="C125" s="20"/>
      <c r="D125" s="21"/>
      <c r="E125" s="31">
        <f>SUM(E100,E104:E124)</f>
        <v>302170.13</v>
      </c>
      <c r="F125" s="31">
        <f t="shared" ref="F125:L125" si="20">SUM(F100,F104:F124)</f>
        <v>0</v>
      </c>
      <c r="G125" s="31">
        <f>SUM(G100,G104:G124)</f>
        <v>14443.004000000001</v>
      </c>
      <c r="H125" s="31">
        <f t="shared" si="20"/>
        <v>0</v>
      </c>
      <c r="I125" s="31">
        <f t="shared" si="20"/>
        <v>0</v>
      </c>
      <c r="J125" s="111">
        <f t="shared" si="20"/>
        <v>0</v>
      </c>
      <c r="K125" s="31">
        <f>SUM(K100,K104:K124)</f>
        <v>14443.004000000001</v>
      </c>
      <c r="L125" s="31">
        <f t="shared" si="20"/>
        <v>287727.12599999999</v>
      </c>
      <c r="M125" s="25"/>
      <c r="N125" s="23"/>
    </row>
    <row r="126" spans="1:14" s="13" customFormat="1" ht="23.25" customHeight="1" thickTop="1">
      <c r="A126" s="448">
        <v>6</v>
      </c>
      <c r="B126" s="448"/>
      <c r="C126" s="448"/>
      <c r="D126" s="448"/>
      <c r="E126" s="448"/>
      <c r="F126" s="448"/>
      <c r="G126" s="448"/>
      <c r="H126" s="448"/>
      <c r="I126" s="448"/>
      <c r="J126" s="448"/>
      <c r="K126" s="448"/>
      <c r="L126" s="448"/>
      <c r="M126" s="15"/>
      <c r="N126" s="26"/>
    </row>
    <row r="127" spans="1:14" ht="23.25" customHeight="1">
      <c r="A127" s="449" t="s">
        <v>1</v>
      </c>
      <c r="B127" s="451" t="s">
        <v>2</v>
      </c>
      <c r="C127" s="449" t="s">
        <v>9</v>
      </c>
      <c r="D127" s="449" t="s">
        <v>10</v>
      </c>
      <c r="E127" s="454" t="s">
        <v>11</v>
      </c>
      <c r="F127" s="93" t="s">
        <v>230</v>
      </c>
      <c r="G127" s="456" t="s">
        <v>14</v>
      </c>
      <c r="H127" s="457"/>
      <c r="I127" s="457"/>
      <c r="J127" s="458"/>
      <c r="K127" s="6" t="s">
        <v>6</v>
      </c>
      <c r="L127" s="6" t="s">
        <v>3</v>
      </c>
    </row>
    <row r="128" spans="1:14" ht="23.25" customHeight="1">
      <c r="A128" s="450"/>
      <c r="B128" s="452"/>
      <c r="C128" s="453"/>
      <c r="D128" s="453"/>
      <c r="E128" s="455"/>
      <c r="F128" s="61"/>
      <c r="G128" s="30" t="s">
        <v>12</v>
      </c>
      <c r="H128" s="116" t="s">
        <v>244</v>
      </c>
      <c r="I128" s="8" t="s">
        <v>7</v>
      </c>
      <c r="J128" s="33" t="s">
        <v>8</v>
      </c>
      <c r="K128" s="7" t="s">
        <v>13</v>
      </c>
      <c r="L128" s="9" t="s">
        <v>184</v>
      </c>
    </row>
    <row r="129" spans="1:14" ht="23.25" customHeight="1">
      <c r="A129" s="42">
        <v>100</v>
      </c>
      <c r="B129" s="49" t="s">
        <v>299</v>
      </c>
      <c r="C129" s="86" t="s">
        <v>70</v>
      </c>
      <c r="D129" s="64" t="s">
        <v>300</v>
      </c>
      <c r="E129" s="70">
        <v>510</v>
      </c>
      <c r="F129" s="10"/>
      <c r="G129" s="75"/>
      <c r="H129" s="16"/>
      <c r="I129" s="140"/>
      <c r="J129" s="18"/>
      <c r="K129" s="57">
        <f t="shared" ref="K129:K149" si="21">SUM(G129:J129)</f>
        <v>0</v>
      </c>
      <c r="L129" s="47">
        <f>SUM(E129+F129-K129)</f>
        <v>510</v>
      </c>
      <c r="M129" s="13"/>
      <c r="N129" s="23"/>
    </row>
    <row r="130" spans="1:14" ht="23.25" customHeight="1">
      <c r="A130" s="42">
        <v>101</v>
      </c>
      <c r="B130" s="49"/>
      <c r="C130" s="86" t="s">
        <v>70</v>
      </c>
      <c r="D130" s="64"/>
      <c r="E130" s="70"/>
      <c r="F130" s="10"/>
      <c r="G130" s="75">
        <f>SUM(E130*5%)+F130*5%</f>
        <v>0</v>
      </c>
      <c r="H130" s="16"/>
      <c r="I130" s="140"/>
      <c r="J130" s="18"/>
      <c r="K130" s="57">
        <f t="shared" si="21"/>
        <v>0</v>
      </c>
      <c r="L130" s="47">
        <f>SUM(E130+F130-K130)</f>
        <v>0</v>
      </c>
      <c r="M130" s="13"/>
      <c r="N130" s="23"/>
    </row>
    <row r="131" spans="1:14" s="32" customFormat="1" ht="23.25" customHeight="1">
      <c r="A131" s="42">
        <v>102</v>
      </c>
      <c r="B131" s="41" t="s">
        <v>87</v>
      </c>
      <c r="C131" s="80" t="s">
        <v>88</v>
      </c>
      <c r="D131" s="63" t="s">
        <v>89</v>
      </c>
      <c r="E131" s="69">
        <v>3600</v>
      </c>
      <c r="F131" s="43"/>
      <c r="G131" s="51">
        <f>SUM(E131*5%)+(F131*5%)</f>
        <v>180</v>
      </c>
      <c r="H131" s="59"/>
      <c r="I131" s="133"/>
      <c r="J131" s="46"/>
      <c r="K131" s="57">
        <f t="shared" si="21"/>
        <v>180</v>
      </c>
      <c r="L131" s="47">
        <f t="shared" ref="L131:L149" si="22">SUM(E131+F131-K131)</f>
        <v>3420</v>
      </c>
      <c r="M131" s="39"/>
      <c r="N131" s="40"/>
    </row>
    <row r="132" spans="1:14" ht="23.25" customHeight="1">
      <c r="A132" s="42">
        <v>103</v>
      </c>
      <c r="B132" s="49" t="s">
        <v>194</v>
      </c>
      <c r="C132" s="81" t="s">
        <v>88</v>
      </c>
      <c r="D132" s="64" t="s">
        <v>201</v>
      </c>
      <c r="E132" s="70">
        <v>560</v>
      </c>
      <c r="F132" s="10"/>
      <c r="G132" s="22"/>
      <c r="H132" s="16"/>
      <c r="I132" s="140"/>
      <c r="J132" s="18"/>
      <c r="K132" s="57">
        <f t="shared" si="21"/>
        <v>0</v>
      </c>
      <c r="L132" s="47">
        <f t="shared" si="22"/>
        <v>560</v>
      </c>
      <c r="M132" s="213"/>
      <c r="N132" s="23"/>
    </row>
    <row r="133" spans="1:14" ht="23.25" customHeight="1">
      <c r="A133" s="42">
        <v>104</v>
      </c>
      <c r="B133" s="49" t="s">
        <v>195</v>
      </c>
      <c r="C133" s="81" t="s">
        <v>88</v>
      </c>
      <c r="D133" s="64" t="s">
        <v>202</v>
      </c>
      <c r="E133" s="70">
        <v>3360</v>
      </c>
      <c r="F133" s="14"/>
      <c r="G133" s="22">
        <f>SUM(E133*5%)+(F133*5%)</f>
        <v>168</v>
      </c>
      <c r="H133" s="204"/>
      <c r="I133" s="149"/>
      <c r="J133" s="12"/>
      <c r="K133" s="57">
        <f t="shared" si="21"/>
        <v>168</v>
      </c>
      <c r="L133" s="47">
        <f t="shared" si="22"/>
        <v>3192</v>
      </c>
      <c r="M133" s="13"/>
      <c r="N133" s="23"/>
    </row>
    <row r="134" spans="1:14" s="32" customFormat="1" ht="23.25" customHeight="1">
      <c r="A134" s="42">
        <v>105</v>
      </c>
      <c r="B134" s="41" t="s">
        <v>320</v>
      </c>
      <c r="C134" s="80" t="s">
        <v>88</v>
      </c>
      <c r="D134" s="63" t="s">
        <v>331</v>
      </c>
      <c r="E134" s="70">
        <v>2880</v>
      </c>
      <c r="F134" s="37"/>
      <c r="G134" s="22">
        <f t="shared" ref="G134:G149" si="23">SUM(E134*5%)+(F134*5%)</f>
        <v>144</v>
      </c>
      <c r="H134" s="59"/>
      <c r="I134" s="133"/>
      <c r="J134" s="46"/>
      <c r="K134" s="57">
        <f t="shared" si="21"/>
        <v>144</v>
      </c>
      <c r="L134" s="47">
        <f t="shared" si="22"/>
        <v>2736</v>
      </c>
      <c r="M134" s="39"/>
      <c r="N134" s="40"/>
    </row>
    <row r="135" spans="1:14" s="32" customFormat="1" ht="23.25" customHeight="1">
      <c r="A135" s="42">
        <v>106</v>
      </c>
      <c r="B135" s="49" t="s">
        <v>76</v>
      </c>
      <c r="C135" s="81" t="s">
        <v>77</v>
      </c>
      <c r="D135" s="64" t="s">
        <v>236</v>
      </c>
      <c r="E135" s="70">
        <v>3660</v>
      </c>
      <c r="F135" s="50"/>
      <c r="G135" s="22">
        <f t="shared" si="23"/>
        <v>183</v>
      </c>
      <c r="H135" s="102"/>
      <c r="I135" s="133"/>
      <c r="J135" s="52"/>
      <c r="K135" s="57">
        <f t="shared" si="21"/>
        <v>183</v>
      </c>
      <c r="L135" s="47">
        <f t="shared" si="22"/>
        <v>3477</v>
      </c>
      <c r="M135" s="34"/>
      <c r="N135" s="40"/>
    </row>
    <row r="136" spans="1:14" s="32" customFormat="1" ht="23.25" customHeight="1">
      <c r="A136" s="42">
        <v>107</v>
      </c>
      <c r="B136" s="41" t="s">
        <v>240</v>
      </c>
      <c r="C136" s="80" t="s">
        <v>77</v>
      </c>
      <c r="D136" s="63" t="s">
        <v>197</v>
      </c>
      <c r="E136" s="70">
        <v>630</v>
      </c>
      <c r="F136" s="37"/>
      <c r="G136" s="22"/>
      <c r="H136" s="59"/>
      <c r="I136" s="218"/>
      <c r="J136" s="46"/>
      <c r="K136" s="57">
        <f t="shared" si="21"/>
        <v>0</v>
      </c>
      <c r="L136" s="47">
        <f t="shared" si="22"/>
        <v>630</v>
      </c>
      <c r="M136" s="39"/>
      <c r="N136" s="40"/>
    </row>
    <row r="137" spans="1:14" s="32" customFormat="1" ht="23.25" customHeight="1">
      <c r="A137" s="42">
        <v>108</v>
      </c>
      <c r="B137" s="41" t="s">
        <v>146</v>
      </c>
      <c r="C137" s="80" t="s">
        <v>147</v>
      </c>
      <c r="D137" s="63" t="s">
        <v>148</v>
      </c>
      <c r="E137" s="69">
        <v>3900</v>
      </c>
      <c r="F137" s="37"/>
      <c r="G137" s="22">
        <f t="shared" si="23"/>
        <v>195</v>
      </c>
      <c r="H137" s="59"/>
      <c r="I137" s="194"/>
      <c r="J137" s="46"/>
      <c r="K137" s="57">
        <f t="shared" si="21"/>
        <v>195</v>
      </c>
      <c r="L137" s="47">
        <f t="shared" si="22"/>
        <v>3705</v>
      </c>
      <c r="M137" s="39"/>
      <c r="N137" s="40"/>
    </row>
    <row r="138" spans="1:14" s="32" customFormat="1" ht="23.25" customHeight="1">
      <c r="A138" s="42">
        <v>109</v>
      </c>
      <c r="B138" s="41" t="s">
        <v>180</v>
      </c>
      <c r="C138" s="80" t="s">
        <v>181</v>
      </c>
      <c r="D138" s="63" t="s">
        <v>182</v>
      </c>
      <c r="E138" s="70">
        <v>610</v>
      </c>
      <c r="F138" s="37"/>
      <c r="G138" s="22"/>
      <c r="H138" s="59"/>
      <c r="I138" s="133"/>
      <c r="J138" s="46"/>
      <c r="K138" s="57">
        <f t="shared" si="21"/>
        <v>0</v>
      </c>
      <c r="L138" s="47">
        <f t="shared" si="22"/>
        <v>610</v>
      </c>
      <c r="M138" s="105"/>
      <c r="N138" s="40"/>
    </row>
    <row r="139" spans="1:14" s="32" customFormat="1" ht="23.25" customHeight="1">
      <c r="A139" s="42">
        <v>110</v>
      </c>
      <c r="B139" s="41" t="s">
        <v>274</v>
      </c>
      <c r="C139" s="80" t="s">
        <v>181</v>
      </c>
      <c r="D139" s="63" t="s">
        <v>275</v>
      </c>
      <c r="E139" s="70">
        <v>2567</v>
      </c>
      <c r="F139" s="37"/>
      <c r="G139" s="22">
        <f>SUM(E139*5%)+(F139*5%)-0.35</f>
        <v>128</v>
      </c>
      <c r="H139" s="59"/>
      <c r="I139" s="133"/>
      <c r="J139" s="46"/>
      <c r="K139" s="77">
        <f t="shared" si="21"/>
        <v>128</v>
      </c>
      <c r="L139" s="77">
        <f t="shared" si="22"/>
        <v>2439</v>
      </c>
      <c r="M139" s="39"/>
      <c r="N139" s="40"/>
    </row>
    <row r="140" spans="1:14" s="32" customFormat="1" ht="23.25" customHeight="1">
      <c r="A140" s="42">
        <v>111</v>
      </c>
      <c r="B140" s="41" t="s">
        <v>311</v>
      </c>
      <c r="C140" s="117" t="s">
        <v>181</v>
      </c>
      <c r="D140" s="63" t="s">
        <v>312</v>
      </c>
      <c r="E140" s="69">
        <v>2880</v>
      </c>
      <c r="F140" s="43"/>
      <c r="G140" s="22">
        <f t="shared" si="23"/>
        <v>144</v>
      </c>
      <c r="H140" s="59"/>
      <c r="I140" s="150"/>
      <c r="J140" s="46"/>
      <c r="K140" s="57">
        <f t="shared" si="21"/>
        <v>144</v>
      </c>
      <c r="L140" s="47">
        <f t="shared" si="22"/>
        <v>2736</v>
      </c>
      <c r="M140" s="105"/>
      <c r="N140" s="40"/>
    </row>
    <row r="141" spans="1:14" s="32" customFormat="1" ht="23.25" customHeight="1">
      <c r="A141" s="42">
        <v>112</v>
      </c>
      <c r="B141" s="41" t="s">
        <v>255</v>
      </c>
      <c r="C141" s="80" t="s">
        <v>190</v>
      </c>
      <c r="D141" s="63" t="s">
        <v>196</v>
      </c>
      <c r="E141" s="70">
        <v>3660</v>
      </c>
      <c r="F141" s="37"/>
      <c r="G141" s="22">
        <f t="shared" si="23"/>
        <v>183</v>
      </c>
      <c r="H141" s="100"/>
      <c r="I141" s="133"/>
      <c r="J141" s="46"/>
      <c r="K141" s="57">
        <f t="shared" si="21"/>
        <v>183</v>
      </c>
      <c r="L141" s="47">
        <f t="shared" si="22"/>
        <v>3477</v>
      </c>
      <c r="M141" s="39"/>
      <c r="N141" s="40"/>
    </row>
    <row r="142" spans="1:14" s="32" customFormat="1" ht="23.25" customHeight="1">
      <c r="A142" s="42">
        <v>113</v>
      </c>
      <c r="B142" s="41" t="s">
        <v>247</v>
      </c>
      <c r="C142" s="117" t="s">
        <v>90</v>
      </c>
      <c r="D142" s="63" t="s">
        <v>248</v>
      </c>
      <c r="E142" s="69">
        <v>3180</v>
      </c>
      <c r="F142" s="43"/>
      <c r="G142" s="22">
        <f t="shared" si="23"/>
        <v>159</v>
      </c>
      <c r="H142" s="206"/>
      <c r="I142" s="133"/>
      <c r="J142" s="46"/>
      <c r="K142" s="57">
        <f t="shared" si="21"/>
        <v>159</v>
      </c>
      <c r="L142" s="47">
        <f t="shared" si="22"/>
        <v>3021</v>
      </c>
      <c r="M142" s="105"/>
      <c r="N142" s="40"/>
    </row>
    <row r="143" spans="1:14" s="32" customFormat="1" ht="23.25" customHeight="1">
      <c r="A143" s="42">
        <v>114</v>
      </c>
      <c r="B143" s="41" t="s">
        <v>324</v>
      </c>
      <c r="C143" s="117" t="s">
        <v>90</v>
      </c>
      <c r="D143" s="63" t="s">
        <v>325</v>
      </c>
      <c r="E143" s="69">
        <v>2880</v>
      </c>
      <c r="F143" s="43"/>
      <c r="G143" s="22">
        <f t="shared" si="23"/>
        <v>144</v>
      </c>
      <c r="H143" s="59"/>
      <c r="I143" s="133"/>
      <c r="J143" s="46"/>
      <c r="K143" s="57">
        <f t="shared" si="21"/>
        <v>144</v>
      </c>
      <c r="L143" s="47">
        <f t="shared" si="22"/>
        <v>2736</v>
      </c>
      <c r="M143" s="39"/>
      <c r="N143" s="40"/>
    </row>
    <row r="144" spans="1:14" s="32" customFormat="1" ht="23.25" customHeight="1">
      <c r="A144" s="42">
        <v>115</v>
      </c>
      <c r="B144" s="41" t="s">
        <v>226</v>
      </c>
      <c r="C144" s="80" t="s">
        <v>227</v>
      </c>
      <c r="D144" s="63" t="s">
        <v>262</v>
      </c>
      <c r="E144" s="74">
        <v>650</v>
      </c>
      <c r="F144" s="43"/>
      <c r="G144" s="22"/>
      <c r="H144" s="59"/>
      <c r="I144" s="133"/>
      <c r="J144" s="46"/>
      <c r="K144" s="76">
        <f t="shared" si="21"/>
        <v>0</v>
      </c>
      <c r="L144" s="77">
        <f t="shared" si="22"/>
        <v>650</v>
      </c>
      <c r="M144" s="34"/>
      <c r="N144" s="40"/>
    </row>
    <row r="145" spans="1:15" s="32" customFormat="1" ht="23.25" customHeight="1">
      <c r="A145" s="42">
        <v>116</v>
      </c>
      <c r="B145" s="41" t="s">
        <v>219</v>
      </c>
      <c r="C145" s="80" t="s">
        <v>220</v>
      </c>
      <c r="D145" s="63" t="s">
        <v>261</v>
      </c>
      <c r="E145" s="74">
        <v>3900</v>
      </c>
      <c r="F145" s="43"/>
      <c r="G145" s="22">
        <f t="shared" si="23"/>
        <v>195</v>
      </c>
      <c r="H145" s="59"/>
      <c r="I145" s="133"/>
      <c r="J145" s="46"/>
      <c r="K145" s="76">
        <f t="shared" si="21"/>
        <v>195</v>
      </c>
      <c r="L145" s="77">
        <f t="shared" si="22"/>
        <v>3705</v>
      </c>
      <c r="M145" s="39"/>
      <c r="N145" s="40"/>
    </row>
    <row r="146" spans="1:15" s="32" customFormat="1" ht="23.25" customHeight="1">
      <c r="A146" s="42">
        <v>117</v>
      </c>
      <c r="B146" s="41" t="s">
        <v>221</v>
      </c>
      <c r="C146" s="80" t="s">
        <v>222</v>
      </c>
      <c r="D146" s="63" t="s">
        <v>258</v>
      </c>
      <c r="E146" s="74">
        <v>3900</v>
      </c>
      <c r="F146" s="43"/>
      <c r="G146" s="22">
        <f t="shared" si="23"/>
        <v>195</v>
      </c>
      <c r="H146" s="59"/>
      <c r="I146" s="48"/>
      <c r="J146" s="46"/>
      <c r="K146" s="76">
        <f t="shared" si="21"/>
        <v>195</v>
      </c>
      <c r="L146" s="77">
        <f t="shared" si="22"/>
        <v>3705</v>
      </c>
      <c r="M146" s="39"/>
      <c r="N146" s="40"/>
    </row>
    <row r="147" spans="1:15" s="32" customFormat="1" ht="23.25" customHeight="1">
      <c r="A147" s="42">
        <v>118</v>
      </c>
      <c r="B147" s="49" t="s">
        <v>223</v>
      </c>
      <c r="C147" s="81" t="s">
        <v>222</v>
      </c>
      <c r="D147" s="64" t="s">
        <v>257</v>
      </c>
      <c r="E147" s="70">
        <v>650</v>
      </c>
      <c r="F147" s="43"/>
      <c r="G147" s="22"/>
      <c r="H147" s="73"/>
      <c r="I147" s="133"/>
      <c r="J147" s="60"/>
      <c r="K147" s="76">
        <f t="shared" si="21"/>
        <v>0</v>
      </c>
      <c r="L147" s="77">
        <f t="shared" si="22"/>
        <v>650</v>
      </c>
      <c r="M147" s="105"/>
      <c r="N147" s="40"/>
    </row>
    <row r="148" spans="1:15" s="32" customFormat="1" ht="23.25" customHeight="1">
      <c r="A148" s="42">
        <v>119</v>
      </c>
      <c r="B148" s="49"/>
      <c r="C148" s="81" t="s">
        <v>222</v>
      </c>
      <c r="D148" s="64"/>
      <c r="E148" s="182"/>
      <c r="F148" s="50"/>
      <c r="G148" s="22">
        <f t="shared" si="23"/>
        <v>0</v>
      </c>
      <c r="H148" s="73"/>
      <c r="I148" s="133"/>
      <c r="J148" s="52"/>
      <c r="K148" s="76">
        <f t="shared" si="21"/>
        <v>0</v>
      </c>
      <c r="L148" s="77">
        <f t="shared" si="22"/>
        <v>0</v>
      </c>
      <c r="M148" s="213"/>
      <c r="N148" s="40"/>
    </row>
    <row r="149" spans="1:15" s="32" customFormat="1" ht="23.25" customHeight="1">
      <c r="A149" s="42">
        <v>120</v>
      </c>
      <c r="B149" s="49" t="s">
        <v>225</v>
      </c>
      <c r="C149" s="81" t="s">
        <v>222</v>
      </c>
      <c r="D149" s="64" t="s">
        <v>256</v>
      </c>
      <c r="E149" s="74">
        <v>3780</v>
      </c>
      <c r="F149" s="50"/>
      <c r="G149" s="22">
        <f t="shared" si="23"/>
        <v>189</v>
      </c>
      <c r="H149" s="208"/>
      <c r="I149" s="150"/>
      <c r="J149" s="52"/>
      <c r="K149" s="76">
        <f t="shared" si="21"/>
        <v>189</v>
      </c>
      <c r="L149" s="77">
        <f t="shared" si="22"/>
        <v>3591</v>
      </c>
      <c r="M149" s="34"/>
      <c r="N149" s="40"/>
    </row>
    <row r="150" spans="1:15" ht="23.25" customHeight="1" thickBot="1">
      <c r="A150" s="19"/>
      <c r="B150" s="19" t="s">
        <v>4</v>
      </c>
      <c r="C150" s="20"/>
      <c r="D150" s="21"/>
      <c r="E150" s="31">
        <f t="shared" ref="E150:L150" si="24">SUM(E125,E129:E149)</f>
        <v>349927.13</v>
      </c>
      <c r="F150" s="31">
        <f t="shared" si="24"/>
        <v>0</v>
      </c>
      <c r="G150" s="31">
        <f t="shared" si="24"/>
        <v>16650.004000000001</v>
      </c>
      <c r="H150" s="31">
        <f t="shared" si="24"/>
        <v>0</v>
      </c>
      <c r="I150" s="31">
        <f t="shared" si="24"/>
        <v>0</v>
      </c>
      <c r="J150" s="111">
        <f t="shared" si="24"/>
        <v>0</v>
      </c>
      <c r="K150" s="31">
        <f t="shared" si="24"/>
        <v>16650.004000000001</v>
      </c>
      <c r="L150" s="31">
        <f t="shared" si="24"/>
        <v>333277.12599999999</v>
      </c>
      <c r="M150" s="144"/>
      <c r="N150" s="143"/>
      <c r="O150" s="143"/>
    </row>
    <row r="151" spans="1:15" s="13" customFormat="1" ht="23.25" customHeight="1" thickTop="1">
      <c r="A151" s="448">
        <v>7</v>
      </c>
      <c r="B151" s="448"/>
      <c r="C151" s="448"/>
      <c r="D151" s="448"/>
      <c r="E151" s="448"/>
      <c r="F151" s="448"/>
      <c r="G151" s="448"/>
      <c r="H151" s="448"/>
      <c r="I151" s="448"/>
      <c r="J151" s="448"/>
      <c r="K151" s="448"/>
      <c r="L151" s="448"/>
      <c r="M151" s="15"/>
      <c r="N151" s="26"/>
    </row>
    <row r="152" spans="1:15" ht="21" customHeight="1">
      <c r="A152" s="449" t="s">
        <v>1</v>
      </c>
      <c r="B152" s="451" t="s">
        <v>2</v>
      </c>
      <c r="C152" s="449" t="s">
        <v>9</v>
      </c>
      <c r="D152" s="449" t="s">
        <v>10</v>
      </c>
      <c r="E152" s="454" t="s">
        <v>11</v>
      </c>
      <c r="F152" s="93" t="s">
        <v>230</v>
      </c>
      <c r="G152" s="456" t="s">
        <v>14</v>
      </c>
      <c r="H152" s="457"/>
      <c r="I152" s="457"/>
      <c r="J152" s="458"/>
      <c r="K152" s="6" t="s">
        <v>6</v>
      </c>
      <c r="L152" s="6" t="s">
        <v>3</v>
      </c>
    </row>
    <row r="153" spans="1:15" ht="19.5" customHeight="1">
      <c r="A153" s="450"/>
      <c r="B153" s="452"/>
      <c r="C153" s="453"/>
      <c r="D153" s="453"/>
      <c r="E153" s="455"/>
      <c r="F153" s="61"/>
      <c r="G153" s="30" t="s">
        <v>12</v>
      </c>
      <c r="H153" s="116" t="s">
        <v>244</v>
      </c>
      <c r="I153" s="8" t="s">
        <v>7</v>
      </c>
      <c r="J153" s="33" t="s">
        <v>8</v>
      </c>
      <c r="K153" s="7" t="s">
        <v>13</v>
      </c>
      <c r="L153" s="9" t="s">
        <v>184</v>
      </c>
    </row>
    <row r="154" spans="1:15" ht="19.5" customHeight="1">
      <c r="A154" s="35">
        <v>121</v>
      </c>
      <c r="B154" s="49" t="s">
        <v>254</v>
      </c>
      <c r="C154" s="81" t="s">
        <v>218</v>
      </c>
      <c r="D154" s="64" t="s">
        <v>265</v>
      </c>
      <c r="E154" s="74">
        <v>3060</v>
      </c>
      <c r="F154" s="50"/>
      <c r="G154" s="22">
        <f>SUM(E154*5%)+(F154*5%)</f>
        <v>153</v>
      </c>
      <c r="H154" s="73"/>
      <c r="I154" s="45"/>
      <c r="J154" s="52"/>
      <c r="K154" s="76">
        <f>SUM(G154:J154)</f>
        <v>153</v>
      </c>
      <c r="L154" s="77">
        <f>SUM(E154+F154-K154)</f>
        <v>2907</v>
      </c>
    </row>
    <row r="155" spans="1:15" s="32" customFormat="1" ht="23.25" customHeight="1">
      <c r="A155" s="42">
        <v>122</v>
      </c>
      <c r="B155" s="49" t="s">
        <v>286</v>
      </c>
      <c r="C155" s="86" t="s">
        <v>218</v>
      </c>
      <c r="D155" s="64" t="s">
        <v>287</v>
      </c>
      <c r="E155" s="70">
        <v>3060</v>
      </c>
      <c r="F155" s="43"/>
      <c r="G155" s="75">
        <f>SUM(E155*5%)+F155*5%</f>
        <v>153</v>
      </c>
      <c r="H155" s="59"/>
      <c r="I155" s="135"/>
      <c r="J155" s="46"/>
      <c r="K155" s="77">
        <f t="shared" ref="K155:K165" si="25">SUM(G155:J155)</f>
        <v>153</v>
      </c>
      <c r="L155" s="77">
        <f t="shared" ref="L155:L165" si="26">SUM(E155+F155-K155)</f>
        <v>2907</v>
      </c>
      <c r="M155" s="39"/>
      <c r="N155" s="40"/>
    </row>
    <row r="156" spans="1:15" s="32" customFormat="1" ht="23.25" customHeight="1">
      <c r="A156" s="165">
        <v>123</v>
      </c>
      <c r="B156" s="49" t="s">
        <v>242</v>
      </c>
      <c r="C156" s="81" t="s">
        <v>243</v>
      </c>
      <c r="D156" s="64" t="s">
        <v>263</v>
      </c>
      <c r="E156" s="112">
        <v>3360</v>
      </c>
      <c r="F156" s="113"/>
      <c r="G156" s="75">
        <f t="shared" ref="G156:G164" si="27">SUM(E156*5%)+F156*5%</f>
        <v>168</v>
      </c>
      <c r="H156" s="114"/>
      <c r="I156" s="163"/>
      <c r="J156" s="115"/>
      <c r="K156" s="170">
        <f t="shared" si="25"/>
        <v>168</v>
      </c>
      <c r="L156" s="170">
        <f t="shared" si="26"/>
        <v>3192</v>
      </c>
      <c r="M156" s="34"/>
      <c r="N156" s="40"/>
    </row>
    <row r="157" spans="1:15" s="32" customFormat="1" ht="23.25" customHeight="1">
      <c r="A157" s="42">
        <v>124</v>
      </c>
      <c r="B157" s="171" t="s">
        <v>214</v>
      </c>
      <c r="C157" s="80" t="s">
        <v>215</v>
      </c>
      <c r="D157" s="172" t="s">
        <v>259</v>
      </c>
      <c r="E157" s="74">
        <v>3900</v>
      </c>
      <c r="F157" s="173"/>
      <c r="G157" s="75">
        <f t="shared" si="27"/>
        <v>195</v>
      </c>
      <c r="H157" s="175"/>
      <c r="I157" s="176"/>
      <c r="J157" s="177"/>
      <c r="K157" s="178">
        <f t="shared" si="25"/>
        <v>195</v>
      </c>
      <c r="L157" s="76">
        <f t="shared" si="26"/>
        <v>3705</v>
      </c>
      <c r="M157" s="34"/>
    </row>
    <row r="158" spans="1:15" s="32" customFormat="1" ht="23.25" customHeight="1">
      <c r="A158" s="165">
        <v>125</v>
      </c>
      <c r="B158" s="41" t="s">
        <v>224</v>
      </c>
      <c r="C158" s="80" t="s">
        <v>215</v>
      </c>
      <c r="D158" s="63" t="s">
        <v>260</v>
      </c>
      <c r="E158" s="74">
        <v>3780</v>
      </c>
      <c r="F158" s="43"/>
      <c r="G158" s="75">
        <f t="shared" si="27"/>
        <v>189</v>
      </c>
      <c r="H158" s="209"/>
      <c r="I158" s="133"/>
      <c r="J158" s="52"/>
      <c r="K158" s="76">
        <f t="shared" si="25"/>
        <v>189</v>
      </c>
      <c r="L158" s="76">
        <f t="shared" si="26"/>
        <v>3591</v>
      </c>
      <c r="M158" s="34"/>
      <c r="N158" s="40"/>
    </row>
    <row r="159" spans="1:15" s="32" customFormat="1" ht="23.25" customHeight="1">
      <c r="A159" s="42">
        <v>126</v>
      </c>
      <c r="B159" s="41" t="s">
        <v>216</v>
      </c>
      <c r="C159" s="80" t="s">
        <v>217</v>
      </c>
      <c r="D159" s="63" t="s">
        <v>264</v>
      </c>
      <c r="E159" s="74">
        <v>3780</v>
      </c>
      <c r="F159" s="43"/>
      <c r="G159" s="75">
        <f t="shared" si="27"/>
        <v>189</v>
      </c>
      <c r="H159" s="209"/>
      <c r="I159" s="133"/>
      <c r="J159" s="46"/>
      <c r="K159" s="76">
        <f t="shared" si="25"/>
        <v>189</v>
      </c>
      <c r="L159" s="76">
        <f t="shared" si="26"/>
        <v>3591</v>
      </c>
      <c r="M159" s="39"/>
      <c r="N159" s="40"/>
    </row>
    <row r="160" spans="1:15" s="32" customFormat="1" ht="23.25" customHeight="1">
      <c r="A160" s="165">
        <v>127</v>
      </c>
      <c r="B160" s="41" t="s">
        <v>152</v>
      </c>
      <c r="C160" s="80" t="s">
        <v>359</v>
      </c>
      <c r="D160" s="63" t="s">
        <v>153</v>
      </c>
      <c r="E160" s="69">
        <v>3840</v>
      </c>
      <c r="F160" s="43"/>
      <c r="G160" s="75">
        <f t="shared" si="27"/>
        <v>192</v>
      </c>
      <c r="H160" s="94"/>
      <c r="I160" s="133"/>
      <c r="J160" s="46"/>
      <c r="K160" s="57">
        <f t="shared" si="25"/>
        <v>192</v>
      </c>
      <c r="L160" s="47">
        <f t="shared" si="26"/>
        <v>3648</v>
      </c>
      <c r="M160" s="39"/>
      <c r="N160" s="40"/>
    </row>
    <row r="161" spans="1:14" ht="23.25" customHeight="1">
      <c r="A161" s="42">
        <v>128</v>
      </c>
      <c r="B161" s="41" t="s">
        <v>294</v>
      </c>
      <c r="C161" s="85" t="s">
        <v>295</v>
      </c>
      <c r="D161" s="63" t="s">
        <v>296</v>
      </c>
      <c r="E161" s="69">
        <v>3060</v>
      </c>
      <c r="F161" s="168"/>
      <c r="G161" s="75">
        <f t="shared" si="27"/>
        <v>153</v>
      </c>
      <c r="H161" s="11"/>
      <c r="I161" s="139"/>
      <c r="J161" s="12"/>
      <c r="K161" s="57">
        <f t="shared" si="25"/>
        <v>153</v>
      </c>
      <c r="L161" s="47">
        <f t="shared" si="26"/>
        <v>2907</v>
      </c>
      <c r="M161" s="24"/>
      <c r="N161" s="23"/>
    </row>
    <row r="162" spans="1:14" s="32" customFormat="1" ht="23.25" customHeight="1">
      <c r="A162" s="165">
        <v>129</v>
      </c>
      <c r="B162" s="36" t="s">
        <v>137</v>
      </c>
      <c r="C162" s="79" t="s">
        <v>138</v>
      </c>
      <c r="D162" s="62" t="s">
        <v>139</v>
      </c>
      <c r="E162" s="67">
        <v>3900</v>
      </c>
      <c r="F162" s="37"/>
      <c r="G162" s="75">
        <f t="shared" si="27"/>
        <v>195</v>
      </c>
      <c r="H162" s="58"/>
      <c r="I162" s="138"/>
      <c r="J162" s="56"/>
      <c r="K162" s="38">
        <f t="shared" si="25"/>
        <v>195</v>
      </c>
      <c r="L162" s="162">
        <f t="shared" si="26"/>
        <v>3705</v>
      </c>
      <c r="M162" s="39"/>
      <c r="N162" s="40"/>
    </row>
    <row r="163" spans="1:14" s="32" customFormat="1" ht="23.25" customHeight="1">
      <c r="A163" s="42">
        <v>130</v>
      </c>
      <c r="B163" s="49" t="s">
        <v>20</v>
      </c>
      <c r="C163" s="81" t="s">
        <v>21</v>
      </c>
      <c r="D163" s="64" t="s">
        <v>22</v>
      </c>
      <c r="E163" s="74">
        <v>3660</v>
      </c>
      <c r="F163" s="37"/>
      <c r="G163" s="75">
        <f t="shared" si="27"/>
        <v>183</v>
      </c>
      <c r="H163" s="73"/>
      <c r="I163" s="133"/>
      <c r="J163" s="52"/>
      <c r="K163" s="76">
        <f t="shared" si="25"/>
        <v>183</v>
      </c>
      <c r="L163" s="77">
        <f t="shared" si="26"/>
        <v>3477</v>
      </c>
      <c r="M163" s="34"/>
      <c r="N163" s="40"/>
    </row>
    <row r="164" spans="1:14" s="32" customFormat="1" ht="23.25" customHeight="1">
      <c r="A164" s="165">
        <v>131</v>
      </c>
      <c r="B164" s="49" t="s">
        <v>73</v>
      </c>
      <c r="C164" s="81" t="s">
        <v>361</v>
      </c>
      <c r="D164" s="64" t="s">
        <v>75</v>
      </c>
      <c r="E164" s="69">
        <v>3660</v>
      </c>
      <c r="F164" s="43"/>
      <c r="G164" s="75">
        <f t="shared" si="27"/>
        <v>183</v>
      </c>
      <c r="H164" s="73"/>
      <c r="I164" s="133"/>
      <c r="J164" s="52"/>
      <c r="K164" s="57">
        <f t="shared" si="25"/>
        <v>183</v>
      </c>
      <c r="L164" s="47">
        <f t="shared" si="26"/>
        <v>3477</v>
      </c>
      <c r="M164" s="34"/>
      <c r="N164" s="40"/>
    </row>
    <row r="165" spans="1:14" ht="23.25" customHeight="1">
      <c r="A165" s="42">
        <v>132</v>
      </c>
      <c r="B165" s="49" t="s">
        <v>415</v>
      </c>
      <c r="C165" s="81" t="s">
        <v>191</v>
      </c>
      <c r="D165" s="64" t="s">
        <v>198</v>
      </c>
      <c r="E165" s="70">
        <v>610</v>
      </c>
      <c r="F165" s="214"/>
      <c r="G165" s="75"/>
      <c r="H165" s="16"/>
      <c r="I165" s="215"/>
      <c r="J165" s="18"/>
      <c r="K165" s="216">
        <f t="shared" si="25"/>
        <v>0</v>
      </c>
      <c r="L165" s="60">
        <f t="shared" si="26"/>
        <v>610</v>
      </c>
      <c r="M165" s="24"/>
      <c r="N165" s="23"/>
    </row>
    <row r="166" spans="1:14" ht="23.25" customHeight="1">
      <c r="A166" s="42"/>
      <c r="B166" s="41"/>
      <c r="C166" s="80"/>
      <c r="D166" s="63"/>
      <c r="E166" s="69"/>
      <c r="F166" s="168"/>
      <c r="G166" s="44"/>
      <c r="H166" s="88"/>
      <c r="I166" s="141"/>
      <c r="J166" s="12"/>
      <c r="K166" s="57"/>
      <c r="L166" s="47"/>
      <c r="M166" s="167"/>
      <c r="N166" s="23"/>
    </row>
    <row r="167" spans="1:14" s="32" customFormat="1" ht="23.25" customHeight="1">
      <c r="A167" s="42"/>
      <c r="B167" s="41"/>
      <c r="C167" s="80"/>
      <c r="D167" s="63"/>
      <c r="E167" s="69"/>
      <c r="F167" s="43"/>
      <c r="G167" s="44"/>
      <c r="H167" s="94"/>
      <c r="I167" s="135"/>
      <c r="J167" s="46"/>
      <c r="K167" s="57"/>
      <c r="L167" s="47"/>
      <c r="M167" s="164"/>
      <c r="N167" s="40"/>
    </row>
    <row r="168" spans="1:14" s="32" customFormat="1" ht="23.25" customHeight="1">
      <c r="A168" s="118"/>
      <c r="B168" s="119"/>
      <c r="C168" s="169"/>
      <c r="D168" s="120"/>
      <c r="E168" s="121"/>
      <c r="F168" s="122"/>
      <c r="G168" s="123"/>
      <c r="H168" s="124"/>
      <c r="I168" s="142"/>
      <c r="J168" s="125"/>
      <c r="K168" s="126"/>
      <c r="L168" s="127"/>
      <c r="M168" s="164"/>
      <c r="N168" s="40"/>
    </row>
    <row r="169" spans="1:14" ht="23.25" customHeight="1" thickBot="1">
      <c r="A169" s="19"/>
      <c r="B169" s="19" t="s">
        <v>5</v>
      </c>
      <c r="C169" s="20"/>
      <c r="D169" s="21"/>
      <c r="E169" s="31">
        <f>SUM(E150,E154:E168)</f>
        <v>389597.13</v>
      </c>
      <c r="F169" s="31">
        <f>SUM(F150,F155:F168)</f>
        <v>0</v>
      </c>
      <c r="G169" s="31">
        <f t="shared" ref="G169:L169" si="28">SUM(G150,G154:G168)</f>
        <v>18603.004000000001</v>
      </c>
      <c r="H169" s="31">
        <f t="shared" si="28"/>
        <v>0</v>
      </c>
      <c r="I169" s="31">
        <f t="shared" si="28"/>
        <v>0</v>
      </c>
      <c r="J169" s="111">
        <f t="shared" si="28"/>
        <v>0</v>
      </c>
      <c r="K169" s="31">
        <f t="shared" si="28"/>
        <v>18603.004000000001</v>
      </c>
      <c r="L169" s="31">
        <f t="shared" si="28"/>
        <v>370994.12599999999</v>
      </c>
      <c r="M169" s="25"/>
      <c r="N169" s="23"/>
    </row>
    <row r="170" spans="1:14" ht="24" thickTop="1">
      <c r="A170" s="89" t="s">
        <v>207</v>
      </c>
      <c r="C170" s="1" t="str">
        <f>BAHTTEXT(L169)</f>
        <v>สามแสนเจ็ดหมื่นเก้าร้อยเก้าสิบสี่บาทสิบสามสตางค์</v>
      </c>
    </row>
    <row r="171" spans="1:14">
      <c r="A171" s="89" t="s">
        <v>208</v>
      </c>
      <c r="I171" s="90" t="str">
        <f>L4</f>
        <v xml:space="preserve"> 27  กันยายน  2554</v>
      </c>
    </row>
    <row r="172" spans="1:14">
      <c r="A172" s="89" t="s">
        <v>210</v>
      </c>
      <c r="C172" s="91">
        <f>L169</f>
        <v>370994.12599999999</v>
      </c>
      <c r="D172" s="1" t="s">
        <v>211</v>
      </c>
      <c r="E172" s="1" t="str">
        <f>BAHTTEXT(C172)</f>
        <v>สามแสนเจ็ดหมื่นเก้าร้อยเก้าสิบสี่บาทสิบสามสตางค์</v>
      </c>
    </row>
    <row r="173" spans="1:14">
      <c r="A173" s="89" t="s">
        <v>394</v>
      </c>
    </row>
    <row r="174" spans="1:14">
      <c r="A174" s="89"/>
      <c r="F174" s="1" t="s">
        <v>212</v>
      </c>
    </row>
    <row r="175" spans="1:14">
      <c r="A175" s="89"/>
      <c r="F175" s="1" t="s">
        <v>213</v>
      </c>
    </row>
    <row r="176" spans="1:14">
      <c r="A176" s="89"/>
    </row>
    <row r="177" spans="1:10">
      <c r="A177" s="89"/>
      <c r="B177" s="95"/>
      <c r="C177" s="95"/>
      <c r="D177" s="95"/>
      <c r="E177" s="96"/>
      <c r="F177" s="95"/>
      <c r="I177" s="2"/>
    </row>
    <row r="178" spans="1:10">
      <c r="A178" s="89"/>
      <c r="B178" s="95"/>
      <c r="C178" s="95"/>
      <c r="D178" s="95"/>
      <c r="E178" s="96"/>
      <c r="F178" s="95"/>
      <c r="I178" s="2"/>
    </row>
    <row r="179" spans="1:10">
      <c r="B179" s="95"/>
      <c r="C179" s="95"/>
      <c r="D179" s="95"/>
      <c r="E179" s="96"/>
      <c r="F179" s="95"/>
      <c r="J179" s="92"/>
    </row>
    <row r="180" spans="1:10">
      <c r="B180" s="95"/>
      <c r="C180" s="95"/>
      <c r="D180" s="95"/>
      <c r="E180" s="96"/>
      <c r="F180" s="95"/>
    </row>
  </sheetData>
  <mergeCells count="48">
    <mergeCell ref="A151:L151"/>
    <mergeCell ref="A152:A153"/>
    <mergeCell ref="C127:C128"/>
    <mergeCell ref="D127:D128"/>
    <mergeCell ref="A102:A103"/>
    <mergeCell ref="B102:B103"/>
    <mergeCell ref="B152:B153"/>
    <mergeCell ref="A126:L126"/>
    <mergeCell ref="E102:E103"/>
    <mergeCell ref="A127:A128"/>
    <mergeCell ref="D152:D153"/>
    <mergeCell ref="E152:E153"/>
    <mergeCell ref="C102:C103"/>
    <mergeCell ref="D102:D103"/>
    <mergeCell ref="G102:J102"/>
    <mergeCell ref="C152:C153"/>
    <mergeCell ref="B127:B128"/>
    <mergeCell ref="A27:A28"/>
    <mergeCell ref="B27:B28"/>
    <mergeCell ref="D27:D28"/>
    <mergeCell ref="E27:E28"/>
    <mergeCell ref="A77:A78"/>
    <mergeCell ref="B77:B78"/>
    <mergeCell ref="G7:J7"/>
    <mergeCell ref="C27:C28"/>
    <mergeCell ref="G27:J27"/>
    <mergeCell ref="A26:L26"/>
    <mergeCell ref="A7:A8"/>
    <mergeCell ref="B7:B8"/>
    <mergeCell ref="D7:D8"/>
    <mergeCell ref="E7:E8"/>
    <mergeCell ref="C7:C8"/>
    <mergeCell ref="G152:J152"/>
    <mergeCell ref="A51:L51"/>
    <mergeCell ref="A52:A53"/>
    <mergeCell ref="B52:B53"/>
    <mergeCell ref="C52:C53"/>
    <mergeCell ref="D52:D53"/>
    <mergeCell ref="E52:E53"/>
    <mergeCell ref="G52:J52"/>
    <mergeCell ref="A76:L76"/>
    <mergeCell ref="C77:C78"/>
    <mergeCell ref="D77:D78"/>
    <mergeCell ref="E127:E128"/>
    <mergeCell ref="G127:J127"/>
    <mergeCell ref="E77:E78"/>
    <mergeCell ref="G77:J77"/>
    <mergeCell ref="A101:L101"/>
  </mergeCells>
  <phoneticPr fontId="0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0"/>
  <sheetViews>
    <sheetView workbookViewId="0">
      <selection activeCell="C61" sqref="C61:C62"/>
    </sheetView>
  </sheetViews>
  <sheetFormatPr defaultRowHeight="21"/>
  <cols>
    <col min="1" max="1" width="5.7109375" style="227" customWidth="1"/>
    <col min="2" max="2" width="24.42578125" style="227" customWidth="1"/>
    <col min="3" max="3" width="12.140625" style="228" customWidth="1"/>
    <col min="4" max="4" width="10.5703125" style="228" customWidth="1"/>
    <col min="5" max="16384" width="9.140625" style="227"/>
  </cols>
  <sheetData>
    <row r="2" spans="1:5">
      <c r="A2" s="230">
        <v>1</v>
      </c>
      <c r="B2" s="231" t="s">
        <v>467</v>
      </c>
      <c r="C2" s="232">
        <v>7500</v>
      </c>
      <c r="D2" s="233"/>
      <c r="E2" s="229"/>
    </row>
    <row r="3" spans="1:5">
      <c r="A3" s="234">
        <v>2</v>
      </c>
      <c r="B3" s="235" t="s">
        <v>468</v>
      </c>
      <c r="C3" s="236">
        <v>3800</v>
      </c>
      <c r="D3" s="237"/>
      <c r="E3" s="229"/>
    </row>
    <row r="4" spans="1:5">
      <c r="A4" s="234">
        <v>3</v>
      </c>
      <c r="B4" s="235" t="s">
        <v>489</v>
      </c>
      <c r="C4" s="236">
        <v>7500</v>
      </c>
      <c r="D4" s="237"/>
      <c r="E4" s="229"/>
    </row>
    <row r="5" spans="1:5">
      <c r="A5" s="234">
        <v>4</v>
      </c>
      <c r="B5" s="235" t="s">
        <v>514</v>
      </c>
      <c r="C5" s="236">
        <v>5000</v>
      </c>
      <c r="D5" s="237">
        <v>1000</v>
      </c>
      <c r="E5" s="229" t="s">
        <v>534</v>
      </c>
    </row>
    <row r="6" spans="1:5">
      <c r="A6" s="234">
        <v>5</v>
      </c>
      <c r="B6" s="235" t="s">
        <v>469</v>
      </c>
      <c r="C6" s="236">
        <v>3800</v>
      </c>
      <c r="D6" s="237"/>
      <c r="E6" s="229"/>
    </row>
    <row r="7" spans="1:5">
      <c r="A7" s="234">
        <v>6</v>
      </c>
      <c r="B7" s="235" t="s">
        <v>470</v>
      </c>
      <c r="C7" s="236">
        <v>7500</v>
      </c>
      <c r="D7" s="237"/>
      <c r="E7" s="229"/>
    </row>
    <row r="8" spans="1:5">
      <c r="A8" s="234">
        <v>7</v>
      </c>
      <c r="B8" s="235" t="s">
        <v>471</v>
      </c>
      <c r="C8" s="236">
        <v>3800</v>
      </c>
      <c r="D8" s="237"/>
      <c r="E8" s="229"/>
    </row>
    <row r="9" spans="1:5">
      <c r="A9" s="234">
        <v>8</v>
      </c>
      <c r="B9" s="235" t="s">
        <v>494</v>
      </c>
      <c r="C9" s="236">
        <v>7500</v>
      </c>
      <c r="D9" s="237"/>
      <c r="E9" s="229"/>
    </row>
    <row r="10" spans="1:5">
      <c r="A10" s="234">
        <v>9</v>
      </c>
      <c r="B10" s="235" t="s">
        <v>491</v>
      </c>
      <c r="C10" s="236">
        <v>6200</v>
      </c>
      <c r="D10" s="237"/>
      <c r="E10" s="229"/>
    </row>
    <row r="11" spans="1:5">
      <c r="A11" s="234">
        <v>10</v>
      </c>
      <c r="B11" s="235" t="s">
        <v>485</v>
      </c>
      <c r="C11" s="236">
        <v>7500</v>
      </c>
      <c r="D11" s="237"/>
      <c r="E11" s="229"/>
    </row>
    <row r="12" spans="1:5">
      <c r="A12" s="234">
        <v>11</v>
      </c>
      <c r="B12" s="235" t="s">
        <v>484</v>
      </c>
      <c r="C12" s="236">
        <v>7500</v>
      </c>
      <c r="D12" s="237"/>
      <c r="E12" s="229"/>
    </row>
    <row r="13" spans="1:5">
      <c r="A13" s="234">
        <v>12</v>
      </c>
      <c r="B13" s="235" t="s">
        <v>479</v>
      </c>
      <c r="C13" s="236">
        <v>7500</v>
      </c>
      <c r="D13" s="237"/>
      <c r="E13" s="229"/>
    </row>
    <row r="14" spans="1:5">
      <c r="A14" s="234">
        <v>13</v>
      </c>
      <c r="B14" s="235" t="s">
        <v>535</v>
      </c>
      <c r="C14" s="236">
        <v>3800</v>
      </c>
      <c r="D14" s="237"/>
      <c r="E14" s="229"/>
    </row>
    <row r="15" spans="1:5">
      <c r="A15" s="234">
        <v>14</v>
      </c>
      <c r="B15" s="235" t="s">
        <v>515</v>
      </c>
      <c r="C15" s="236">
        <v>4100</v>
      </c>
      <c r="D15" s="237"/>
      <c r="E15" s="229"/>
    </row>
    <row r="16" spans="1:5">
      <c r="A16" s="234">
        <v>15</v>
      </c>
      <c r="B16" s="235" t="s">
        <v>536</v>
      </c>
      <c r="C16" s="236">
        <v>6200</v>
      </c>
      <c r="D16" s="237"/>
      <c r="E16" s="229"/>
    </row>
    <row r="17" spans="1:5">
      <c r="A17" s="234">
        <v>16</v>
      </c>
      <c r="B17" s="235" t="s">
        <v>481</v>
      </c>
      <c r="C17" s="236">
        <v>3800</v>
      </c>
      <c r="D17" s="237"/>
      <c r="E17" s="229"/>
    </row>
    <row r="18" spans="1:5">
      <c r="A18" s="234">
        <v>17</v>
      </c>
      <c r="B18" s="235" t="s">
        <v>488</v>
      </c>
      <c r="C18" s="236">
        <v>7500</v>
      </c>
      <c r="D18" s="237">
        <v>400</v>
      </c>
      <c r="E18" s="229" t="s">
        <v>537</v>
      </c>
    </row>
    <row r="19" spans="1:5">
      <c r="A19" s="234">
        <v>18</v>
      </c>
      <c r="B19" s="235" t="s">
        <v>538</v>
      </c>
      <c r="C19" s="236">
        <v>3800</v>
      </c>
      <c r="D19" s="237"/>
      <c r="E19" s="229"/>
    </row>
    <row r="20" spans="1:5">
      <c r="A20" s="234">
        <v>19</v>
      </c>
      <c r="B20" s="235" t="s">
        <v>477</v>
      </c>
      <c r="C20" s="236">
        <v>1500</v>
      </c>
      <c r="D20" s="237"/>
      <c r="E20" s="229"/>
    </row>
    <row r="21" spans="1:5">
      <c r="A21" s="234">
        <v>20</v>
      </c>
      <c r="B21" s="235" t="s">
        <v>478</v>
      </c>
      <c r="C21" s="236">
        <v>7500</v>
      </c>
      <c r="D21" s="237"/>
      <c r="E21" s="229"/>
    </row>
    <row r="22" spans="1:5">
      <c r="A22" s="234">
        <v>21</v>
      </c>
      <c r="B22" s="235" t="s">
        <v>476</v>
      </c>
      <c r="C22" s="236">
        <v>7500</v>
      </c>
      <c r="D22" s="237"/>
      <c r="E22" s="229"/>
    </row>
    <row r="23" spans="1:5">
      <c r="A23" s="234">
        <v>22</v>
      </c>
      <c r="B23" s="235" t="s">
        <v>487</v>
      </c>
      <c r="C23" s="236">
        <v>7500</v>
      </c>
      <c r="D23" s="237"/>
      <c r="E23" s="229"/>
    </row>
    <row r="24" spans="1:5">
      <c r="A24" s="234">
        <v>23</v>
      </c>
      <c r="B24" s="235" t="s">
        <v>486</v>
      </c>
      <c r="C24" s="236">
        <v>7500</v>
      </c>
      <c r="D24" s="237"/>
      <c r="E24" s="229"/>
    </row>
    <row r="25" spans="1:5">
      <c r="A25" s="234">
        <v>24</v>
      </c>
      <c r="B25" s="235" t="s">
        <v>513</v>
      </c>
      <c r="C25" s="236">
        <v>3800</v>
      </c>
      <c r="D25" s="237"/>
      <c r="E25" s="229"/>
    </row>
    <row r="26" spans="1:5">
      <c r="A26" s="234">
        <v>25</v>
      </c>
      <c r="B26" s="235" t="s">
        <v>490</v>
      </c>
      <c r="C26" s="236">
        <v>6200</v>
      </c>
      <c r="D26" s="237"/>
      <c r="E26" s="229"/>
    </row>
    <row r="27" spans="1:5">
      <c r="A27" s="234">
        <v>26</v>
      </c>
      <c r="B27" s="235" t="s">
        <v>474</v>
      </c>
      <c r="C27" s="236">
        <v>7500</v>
      </c>
      <c r="D27" s="237"/>
      <c r="E27" s="229"/>
    </row>
    <row r="28" spans="1:5">
      <c r="A28" s="234">
        <v>27</v>
      </c>
      <c r="B28" s="235" t="s">
        <v>482</v>
      </c>
      <c r="C28" s="236">
        <v>7500</v>
      </c>
      <c r="D28" s="237"/>
      <c r="E28" s="229"/>
    </row>
    <row r="29" spans="1:5">
      <c r="A29" s="234">
        <v>28</v>
      </c>
      <c r="B29" s="235" t="s">
        <v>483</v>
      </c>
      <c r="C29" s="236">
        <v>5000</v>
      </c>
      <c r="D29" s="237"/>
      <c r="E29" s="229"/>
    </row>
    <row r="30" spans="1:5">
      <c r="A30" s="234">
        <v>29</v>
      </c>
      <c r="B30" s="235" t="s">
        <v>480</v>
      </c>
      <c r="C30" s="236">
        <v>7500</v>
      </c>
      <c r="D30" s="237"/>
      <c r="E30" s="229"/>
    </row>
    <row r="31" spans="1:5">
      <c r="A31" s="234">
        <v>30</v>
      </c>
      <c r="B31" s="235" t="s">
        <v>475</v>
      </c>
      <c r="C31" s="236">
        <v>7500</v>
      </c>
      <c r="D31" s="237"/>
      <c r="E31" s="229"/>
    </row>
    <row r="32" spans="1:5">
      <c r="A32" s="234">
        <v>31</v>
      </c>
      <c r="B32" s="235" t="s">
        <v>473</v>
      </c>
      <c r="C32" s="236">
        <v>6800</v>
      </c>
      <c r="D32" s="237"/>
      <c r="E32" s="229"/>
    </row>
    <row r="33" spans="1:5">
      <c r="A33" s="234">
        <v>32</v>
      </c>
      <c r="B33" s="235" t="s">
        <v>472</v>
      </c>
      <c r="C33" s="236">
        <v>7500</v>
      </c>
      <c r="D33" s="237"/>
      <c r="E33" s="229"/>
    </row>
    <row r="34" spans="1:5">
      <c r="A34" s="234">
        <v>33</v>
      </c>
      <c r="B34" s="235" t="s">
        <v>539</v>
      </c>
      <c r="C34" s="236">
        <v>3800</v>
      </c>
      <c r="D34" s="237"/>
      <c r="E34" s="229"/>
    </row>
    <row r="35" spans="1:5">
      <c r="A35" s="234">
        <v>34</v>
      </c>
      <c r="B35" s="235" t="s">
        <v>505</v>
      </c>
      <c r="C35" s="236">
        <v>6200</v>
      </c>
      <c r="D35" s="237"/>
      <c r="E35" s="229"/>
    </row>
    <row r="36" spans="1:5">
      <c r="A36" s="234">
        <v>35</v>
      </c>
      <c r="B36" s="235" t="s">
        <v>493</v>
      </c>
      <c r="C36" s="236">
        <v>7500</v>
      </c>
      <c r="D36" s="237"/>
      <c r="E36" s="229"/>
    </row>
    <row r="37" spans="1:5">
      <c r="A37" s="234">
        <v>36</v>
      </c>
      <c r="B37" s="235" t="s">
        <v>499</v>
      </c>
      <c r="C37" s="236">
        <v>7500</v>
      </c>
      <c r="D37" s="237"/>
      <c r="E37" s="229"/>
    </row>
    <row r="38" spans="1:5">
      <c r="A38" s="234">
        <v>37</v>
      </c>
      <c r="B38" s="235" t="s">
        <v>498</v>
      </c>
      <c r="C38" s="236">
        <v>3800</v>
      </c>
      <c r="D38" s="237"/>
      <c r="E38" s="229"/>
    </row>
    <row r="39" spans="1:5">
      <c r="A39" s="234">
        <v>38</v>
      </c>
      <c r="B39" s="235" t="s">
        <v>500</v>
      </c>
      <c r="C39" s="236">
        <v>10000</v>
      </c>
      <c r="D39" s="237"/>
      <c r="E39" s="229"/>
    </row>
    <row r="40" spans="1:5">
      <c r="A40" s="234">
        <v>39</v>
      </c>
      <c r="B40" s="235" t="s">
        <v>495</v>
      </c>
      <c r="C40" s="236">
        <v>3800</v>
      </c>
      <c r="D40" s="237"/>
      <c r="E40" s="229"/>
    </row>
    <row r="41" spans="1:5">
      <c r="A41" s="234">
        <v>40</v>
      </c>
      <c r="B41" s="235" t="s">
        <v>496</v>
      </c>
      <c r="C41" s="236">
        <v>7500</v>
      </c>
      <c r="D41" s="237"/>
      <c r="E41" s="229"/>
    </row>
    <row r="42" spans="1:5">
      <c r="A42" s="234">
        <v>41</v>
      </c>
      <c r="B42" s="235" t="s">
        <v>497</v>
      </c>
      <c r="C42" s="236">
        <v>7500</v>
      </c>
      <c r="D42" s="237"/>
      <c r="E42" s="229"/>
    </row>
    <row r="43" spans="1:5">
      <c r="A43" s="234">
        <v>42</v>
      </c>
      <c r="B43" s="235" t="s">
        <v>540</v>
      </c>
      <c r="C43" s="236">
        <v>3800</v>
      </c>
      <c r="D43" s="237"/>
      <c r="E43" s="229"/>
    </row>
    <row r="44" spans="1:5">
      <c r="A44" s="234">
        <v>43</v>
      </c>
      <c r="B44" s="235" t="s">
        <v>503</v>
      </c>
      <c r="C44" s="236">
        <v>6200</v>
      </c>
      <c r="D44" s="237"/>
      <c r="E44" s="229"/>
    </row>
    <row r="45" spans="1:5">
      <c r="A45" s="234">
        <v>44</v>
      </c>
      <c r="B45" s="235" t="s">
        <v>541</v>
      </c>
      <c r="C45" s="236">
        <v>3800</v>
      </c>
      <c r="D45" s="237"/>
      <c r="E45" s="229"/>
    </row>
    <row r="46" spans="1:5">
      <c r="A46" s="234">
        <v>45</v>
      </c>
      <c r="B46" s="235" t="s">
        <v>492</v>
      </c>
      <c r="C46" s="236">
        <v>7500</v>
      </c>
      <c r="D46" s="237"/>
      <c r="E46" s="229"/>
    </row>
    <row r="47" spans="1:5">
      <c r="A47" s="234">
        <v>46</v>
      </c>
      <c r="B47" s="235" t="s">
        <v>507</v>
      </c>
      <c r="C47" s="236">
        <v>7500</v>
      </c>
      <c r="D47" s="237"/>
      <c r="E47" s="229"/>
    </row>
    <row r="48" spans="1:5">
      <c r="A48" s="234">
        <v>47</v>
      </c>
      <c r="B48" s="235" t="s">
        <v>506</v>
      </c>
      <c r="C48" s="236">
        <v>7500</v>
      </c>
      <c r="D48" s="237"/>
      <c r="E48" s="229"/>
    </row>
    <row r="49" spans="1:5">
      <c r="A49" s="234">
        <v>48</v>
      </c>
      <c r="B49" s="235" t="s">
        <v>504</v>
      </c>
      <c r="C49" s="236">
        <v>7500</v>
      </c>
      <c r="D49" s="237"/>
      <c r="E49" s="229"/>
    </row>
    <row r="50" spans="1:5">
      <c r="A50" s="234">
        <v>49</v>
      </c>
      <c r="B50" s="235" t="s">
        <v>542</v>
      </c>
      <c r="C50" s="236">
        <v>6200</v>
      </c>
      <c r="D50" s="237"/>
      <c r="E50" s="229"/>
    </row>
    <row r="51" spans="1:5">
      <c r="A51" s="234">
        <v>50</v>
      </c>
      <c r="B51" s="235" t="s">
        <v>501</v>
      </c>
      <c r="C51" s="236">
        <v>7500</v>
      </c>
      <c r="D51" s="237"/>
      <c r="E51" s="229"/>
    </row>
    <row r="52" spans="1:5">
      <c r="A52" s="234">
        <v>51</v>
      </c>
      <c r="B52" s="235" t="s">
        <v>508</v>
      </c>
      <c r="C52" s="236">
        <v>6200</v>
      </c>
      <c r="D52" s="237"/>
      <c r="E52" s="229"/>
    </row>
    <row r="53" spans="1:5">
      <c r="A53" s="234">
        <v>52</v>
      </c>
      <c r="B53" s="235" t="s">
        <v>509</v>
      </c>
      <c r="C53" s="236">
        <v>3800</v>
      </c>
      <c r="D53" s="237"/>
      <c r="E53" s="229"/>
    </row>
    <row r="54" spans="1:5">
      <c r="A54" s="234">
        <v>53</v>
      </c>
      <c r="B54" s="235" t="s">
        <v>510</v>
      </c>
      <c r="C54" s="236">
        <v>6200</v>
      </c>
      <c r="D54" s="237"/>
      <c r="E54" s="229"/>
    </row>
    <row r="55" spans="1:5">
      <c r="A55" s="234">
        <v>54</v>
      </c>
      <c r="B55" s="235" t="s">
        <v>511</v>
      </c>
      <c r="C55" s="236">
        <v>7500</v>
      </c>
      <c r="D55" s="237"/>
      <c r="E55" s="229"/>
    </row>
    <row r="56" spans="1:5">
      <c r="A56" s="234">
        <v>55</v>
      </c>
      <c r="B56" s="235" t="s">
        <v>512</v>
      </c>
      <c r="C56" s="236">
        <v>6200</v>
      </c>
      <c r="D56" s="237"/>
      <c r="E56" s="229"/>
    </row>
    <row r="57" spans="1:5">
      <c r="A57" s="234">
        <v>56</v>
      </c>
      <c r="B57" s="235" t="s">
        <v>502</v>
      </c>
      <c r="C57" s="236">
        <v>7500</v>
      </c>
      <c r="D57" s="237"/>
      <c r="E57" s="229"/>
    </row>
    <row r="58" spans="1:5">
      <c r="A58" s="238"/>
      <c r="B58" s="239"/>
      <c r="C58" s="240">
        <f>SUM(C2:C57)</f>
        <v>347600</v>
      </c>
      <c r="D58" s="241">
        <f>SUM(D2:D56)</f>
        <v>1400</v>
      </c>
      <c r="E58" s="229"/>
    </row>
    <row r="59" spans="1:5">
      <c r="B59" s="227" t="s">
        <v>543</v>
      </c>
      <c r="C59" s="228">
        <v>3800</v>
      </c>
    </row>
    <row r="60" spans="1:5">
      <c r="C60" s="228">
        <f>SUM(C58)+2000-3800</f>
        <v>345800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กรุงไทย   (2)</vt:lpstr>
      <vt:lpstr>กรุงไทย  </vt:lpstr>
      <vt:lpstr>ตกเบิก 5%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comno_11</dc:creator>
  <cp:lastModifiedBy>money_addmin</cp:lastModifiedBy>
  <cp:lastPrinted>2014-04-18T08:17:39Z</cp:lastPrinted>
  <dcterms:created xsi:type="dcterms:W3CDTF">2004-03-31T01:53:43Z</dcterms:created>
  <dcterms:modified xsi:type="dcterms:W3CDTF">2014-04-24T01:58:47Z</dcterms:modified>
</cp:coreProperties>
</file>